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190" yWindow="2100" windowWidth="14805" windowHeight="7410" firstSheet="3" activeTab="3"/>
  </bookViews>
  <sheets>
    <sheet name="14 (5)" sheetId="44" state="hidden" r:id="rId1"/>
    <sheet name="14 (4)" sheetId="42" state="hidden" r:id="rId2"/>
    <sheet name="16" sheetId="34" state="hidden" r:id="rId3"/>
    <sheet name="2" sheetId="26" r:id="rId4"/>
  </sheets>
  <definedNames>
    <definedName name="_xlnm._FilterDatabase" localSheetId="1" hidden="1">'14 (4)'!$A$9:$N$879</definedName>
    <definedName name="_xlnm._FilterDatabase" localSheetId="0" hidden="1">'14 (5)'!$A$9:$N$875</definedName>
    <definedName name="_xlnm._FilterDatabase" localSheetId="2" hidden="1">'16'!$A$9:$H$478</definedName>
    <definedName name="в7" localSheetId="1">#REF!</definedName>
    <definedName name="в7" localSheetId="0">#REF!</definedName>
    <definedName name="в7">#REF!</definedName>
    <definedName name="вед" localSheetId="1">#REF!</definedName>
    <definedName name="вед" localSheetId="0">#REF!</definedName>
    <definedName name="вед" localSheetId="2">#REF!</definedName>
    <definedName name="вед" localSheetId="3">#REF!</definedName>
    <definedName name="вед">#REF!</definedName>
    <definedName name="вед21" localSheetId="1">#REF!</definedName>
    <definedName name="вед21" localSheetId="0">#REF!</definedName>
    <definedName name="вед21">#REF!</definedName>
    <definedName name="двод6" localSheetId="1">#REF!</definedName>
    <definedName name="двод6" localSheetId="0">#REF!</definedName>
    <definedName name="двод6">#REF!</definedName>
    <definedName name="дор" localSheetId="1">#REF!</definedName>
    <definedName name="дор" localSheetId="0">#REF!</definedName>
    <definedName name="дор" localSheetId="2">#REF!</definedName>
    <definedName name="дор" localSheetId="3">#REF!</definedName>
    <definedName name="дор">#REF!</definedName>
    <definedName name="е1" localSheetId="1">#REF!</definedName>
    <definedName name="е1" localSheetId="0">#REF!</definedName>
    <definedName name="е1">#REF!</definedName>
    <definedName name="_xlnm.Print_Titles" localSheetId="1">'14 (4)'!$6:$9</definedName>
    <definedName name="_xlnm.Print_Titles" localSheetId="0">'14 (5)'!$6:$9</definedName>
    <definedName name="_xlnm.Print_Titles" localSheetId="2">'16'!$6:$9</definedName>
    <definedName name="к4" localSheetId="1">#REF!</definedName>
    <definedName name="к4" localSheetId="0">#REF!</definedName>
    <definedName name="к4">#REF!</definedName>
    <definedName name="н4" localSheetId="1">#REF!</definedName>
    <definedName name="н4" localSheetId="0">#REF!</definedName>
    <definedName name="н4">#REF!</definedName>
    <definedName name="н8" localSheetId="1">#REF!</definedName>
    <definedName name="н8" localSheetId="0">#REF!</definedName>
    <definedName name="н8">#REF!</definedName>
    <definedName name="о9" localSheetId="1">#REF!</definedName>
    <definedName name="о9" localSheetId="0">#REF!</definedName>
    <definedName name="о9">#REF!</definedName>
    <definedName name="_xlnm.Print_Area" localSheetId="1">'14 (4)'!$A$1:$J$879</definedName>
    <definedName name="_xlnm.Print_Area" localSheetId="0">'14 (5)'!$A$1:$J$875</definedName>
    <definedName name="_xlnm.Print_Area" localSheetId="2">'16'!$A$1:$H$478</definedName>
    <definedName name="_xlnm.Print_Area" localSheetId="3">'2'!$A$1:$E$15</definedName>
    <definedName name="_xlnm.Print_Area">#REF!</definedName>
    <definedName name="п" localSheetId="1">#REF!</definedName>
    <definedName name="п" localSheetId="0">#REF!</definedName>
    <definedName name="п" localSheetId="2">#REF!</definedName>
    <definedName name="п" localSheetId="3">#REF!</definedName>
    <definedName name="п">#REF!</definedName>
    <definedName name="пп" localSheetId="1">#REF!</definedName>
    <definedName name="пп" localSheetId="0">#REF!</definedName>
    <definedName name="пп">#REF!</definedName>
    <definedName name="стройка" localSheetId="1">#REF!</definedName>
    <definedName name="стройка" localSheetId="0">#REF!</definedName>
    <definedName name="стройка" localSheetId="2">#REF!</definedName>
    <definedName name="стройка" localSheetId="3">#REF!</definedName>
    <definedName name="стройка">#REF!</definedName>
    <definedName name="ф88" localSheetId="1">#REF!</definedName>
    <definedName name="ф88" localSheetId="0">#REF!</definedName>
    <definedName name="ф88">#REF!</definedName>
  </definedNames>
  <calcPr calcId="125725" iterate="1"/>
</workbook>
</file>

<file path=xl/calcChain.xml><?xml version="1.0" encoding="utf-8"?>
<calcChain xmlns="http://schemas.openxmlformats.org/spreadsheetml/2006/main">
  <c r="J890" i="44"/>
  <c r="I890"/>
  <c r="J885"/>
  <c r="I885"/>
  <c r="F885"/>
  <c r="K817"/>
  <c r="H817"/>
  <c r="E817"/>
  <c r="H808"/>
  <c r="E808"/>
  <c r="J807"/>
  <c r="I807"/>
  <c r="H807" s="1"/>
  <c r="F807"/>
  <c r="E807" s="1"/>
  <c r="K101"/>
  <c r="H101"/>
  <c r="E101"/>
  <c r="G100"/>
  <c r="H100" s="1"/>
  <c r="D100"/>
  <c r="J99"/>
  <c r="J98" s="1"/>
  <c r="J97" s="1"/>
  <c r="J96" s="1"/>
  <c r="I99"/>
  <c r="H99" s="1"/>
  <c r="F99"/>
  <c r="E99" s="1"/>
  <c r="K309"/>
  <c r="H309"/>
  <c r="E309"/>
  <c r="K308"/>
  <c r="H308"/>
  <c r="E308"/>
  <c r="G307"/>
  <c r="H307" s="1"/>
  <c r="D307"/>
  <c r="E307" s="1"/>
  <c r="K305"/>
  <c r="H305"/>
  <c r="E305"/>
  <c r="G304"/>
  <c r="H304" s="1"/>
  <c r="D304"/>
  <c r="E304" s="1"/>
  <c r="K303"/>
  <c r="H303"/>
  <c r="E303"/>
  <c r="K302"/>
  <c r="H302"/>
  <c r="E302"/>
  <c r="G301"/>
  <c r="H301" s="1"/>
  <c r="D301"/>
  <c r="E301" s="1"/>
  <c r="K433"/>
  <c r="H433"/>
  <c r="E433"/>
  <c r="J432"/>
  <c r="I432"/>
  <c r="H432" s="1"/>
  <c r="F432"/>
  <c r="E432" s="1"/>
  <c r="G429"/>
  <c r="G427" s="1"/>
  <c r="D429"/>
  <c r="D427" s="1"/>
  <c r="N452"/>
  <c r="M452"/>
  <c r="L452"/>
  <c r="J452"/>
  <c r="J451" s="1"/>
  <c r="I452"/>
  <c r="H452" s="1"/>
  <c r="F452"/>
  <c r="E452" s="1"/>
  <c r="K450"/>
  <c r="G450"/>
  <c r="H450" s="1"/>
  <c r="D450"/>
  <c r="J449"/>
  <c r="I449"/>
  <c r="G449"/>
  <c r="F449"/>
  <c r="K446"/>
  <c r="H446"/>
  <c r="E446"/>
  <c r="G445"/>
  <c r="H445" s="1"/>
  <c r="D445"/>
  <c r="E445" s="1"/>
  <c r="H444"/>
  <c r="E444"/>
  <c r="J443"/>
  <c r="I443"/>
  <c r="G443"/>
  <c r="F443"/>
  <c r="D443"/>
  <c r="K435"/>
  <c r="H435"/>
  <c r="E435"/>
  <c r="G434"/>
  <c r="D434"/>
  <c r="E434" s="1"/>
  <c r="K431"/>
  <c r="H431"/>
  <c r="E431"/>
  <c r="J430"/>
  <c r="I430"/>
  <c r="H430" s="1"/>
  <c r="F430"/>
  <c r="E430" s="1"/>
  <c r="D426"/>
  <c r="K806"/>
  <c r="H806"/>
  <c r="E806"/>
  <c r="K805"/>
  <c r="H805"/>
  <c r="E805"/>
  <c r="G804"/>
  <c r="H804" s="1"/>
  <c r="D804"/>
  <c r="E804" s="1"/>
  <c r="G735"/>
  <c r="H735" s="1"/>
  <c r="D735"/>
  <c r="E735" s="1"/>
  <c r="G712"/>
  <c r="H712" s="1"/>
  <c r="D712"/>
  <c r="E712" s="1"/>
  <c r="G679"/>
  <c r="H679" s="1"/>
  <c r="D679"/>
  <c r="E679" s="1"/>
  <c r="K413"/>
  <c r="H413"/>
  <c r="E413"/>
  <c r="K412"/>
  <c r="G412"/>
  <c r="D412"/>
  <c r="K411"/>
  <c r="H411"/>
  <c r="E411"/>
  <c r="K409"/>
  <c r="G409"/>
  <c r="D409"/>
  <c r="K408"/>
  <c r="G408"/>
  <c r="H408" s="1"/>
  <c r="D408"/>
  <c r="E408" s="1"/>
  <c r="K406"/>
  <c r="H406"/>
  <c r="E406"/>
  <c r="K405"/>
  <c r="H405"/>
  <c r="F405"/>
  <c r="E405" s="1"/>
  <c r="K404"/>
  <c r="H404"/>
  <c r="E404"/>
  <c r="K403"/>
  <c r="H403"/>
  <c r="E403"/>
  <c r="K402"/>
  <c r="H402"/>
  <c r="E402"/>
  <c r="J401"/>
  <c r="J400" s="1"/>
  <c r="J399" s="1"/>
  <c r="I401"/>
  <c r="H401"/>
  <c r="I400"/>
  <c r="K339"/>
  <c r="H339"/>
  <c r="E339"/>
  <c r="G338"/>
  <c r="H338" s="1"/>
  <c r="D338"/>
  <c r="E338" s="1"/>
  <c r="G334"/>
  <c r="H334" s="1"/>
  <c r="D334"/>
  <c r="E334" s="1"/>
  <c r="K63"/>
  <c r="H63"/>
  <c r="E63"/>
  <c r="J62"/>
  <c r="I62"/>
  <c r="G62"/>
  <c r="F62"/>
  <c r="D62"/>
  <c r="K58"/>
  <c r="H58"/>
  <c r="E58"/>
  <c r="J57"/>
  <c r="J56" s="1"/>
  <c r="J55" s="1"/>
  <c r="I57"/>
  <c r="H57" s="1"/>
  <c r="F57"/>
  <c r="F56" s="1"/>
  <c r="E56" s="1"/>
  <c r="H59"/>
  <c r="E59"/>
  <c r="H803"/>
  <c r="E803"/>
  <c r="H802"/>
  <c r="E802"/>
  <c r="J801"/>
  <c r="I801"/>
  <c r="G801"/>
  <c r="F801"/>
  <c r="D801"/>
  <c r="D734" s="1"/>
  <c r="D711" s="1"/>
  <c r="D678" s="1"/>
  <c r="J734"/>
  <c r="J711" s="1"/>
  <c r="F734"/>
  <c r="F733" s="1"/>
  <c r="J678"/>
  <c r="G89"/>
  <c r="H89" s="1"/>
  <c r="D89"/>
  <c r="J88"/>
  <c r="I88"/>
  <c r="G88"/>
  <c r="F88"/>
  <c r="K87"/>
  <c r="H87"/>
  <c r="E87"/>
  <c r="J86"/>
  <c r="J85" s="1"/>
  <c r="I86"/>
  <c r="F86"/>
  <c r="E86" s="1"/>
  <c r="G85"/>
  <c r="D85"/>
  <c r="K84"/>
  <c r="H84"/>
  <c r="E84"/>
  <c r="G83"/>
  <c r="H83" s="1"/>
  <c r="E83"/>
  <c r="D83"/>
  <c r="K82"/>
  <c r="H82"/>
  <c r="E82"/>
  <c r="K81"/>
  <c r="G81"/>
  <c r="H81" s="1"/>
  <c r="E81"/>
  <c r="D81"/>
  <c r="K80"/>
  <c r="G80"/>
  <c r="D80"/>
  <c r="K79"/>
  <c r="H79"/>
  <c r="E79"/>
  <c r="K77"/>
  <c r="G77"/>
  <c r="D77"/>
  <c r="K76"/>
  <c r="H76"/>
  <c r="G76"/>
  <c r="D76"/>
  <c r="E76" s="1"/>
  <c r="K74"/>
  <c r="H74"/>
  <c r="E74"/>
  <c r="J73"/>
  <c r="I73"/>
  <c r="H73" s="1"/>
  <c r="F73"/>
  <c r="E73" s="1"/>
  <c r="K72"/>
  <c r="H72"/>
  <c r="E72"/>
  <c r="K71"/>
  <c r="H71"/>
  <c r="F71"/>
  <c r="E71" s="1"/>
  <c r="J70"/>
  <c r="I70"/>
  <c r="F70"/>
  <c r="E70" s="1"/>
  <c r="K69"/>
  <c r="H69"/>
  <c r="E69"/>
  <c r="J68"/>
  <c r="I68"/>
  <c r="F68"/>
  <c r="N549"/>
  <c r="M549"/>
  <c r="L549"/>
  <c r="H549"/>
  <c r="F549"/>
  <c r="E549" s="1"/>
  <c r="J548"/>
  <c r="I548"/>
  <c r="G548"/>
  <c r="D548"/>
  <c r="K554"/>
  <c r="H554"/>
  <c r="E554"/>
  <c r="G553"/>
  <c r="H553" s="1"/>
  <c r="D553"/>
  <c r="E553" s="1"/>
  <c r="K552"/>
  <c r="H552"/>
  <c r="E552"/>
  <c r="G551"/>
  <c r="H551" s="1"/>
  <c r="D551"/>
  <c r="E551" s="1"/>
  <c r="K540"/>
  <c r="H540"/>
  <c r="E540"/>
  <c r="J539"/>
  <c r="J538" s="1"/>
  <c r="J537" s="1"/>
  <c r="I539"/>
  <c r="H539" s="1"/>
  <c r="F539"/>
  <c r="E539"/>
  <c r="I538"/>
  <c r="F538"/>
  <c r="N534"/>
  <c r="M534"/>
  <c r="L534"/>
  <c r="H534"/>
  <c r="F534"/>
  <c r="D534"/>
  <c r="D533" s="1"/>
  <c r="J533"/>
  <c r="I533"/>
  <c r="G533"/>
  <c r="H533" s="1"/>
  <c r="F533"/>
  <c r="H800"/>
  <c r="E800"/>
  <c r="H799"/>
  <c r="E799"/>
  <c r="J798"/>
  <c r="I798"/>
  <c r="G798"/>
  <c r="F798"/>
  <c r="D798"/>
  <c r="E798" s="1"/>
  <c r="D733"/>
  <c r="D710" s="1"/>
  <c r="D677" s="1"/>
  <c r="J677"/>
  <c r="K532"/>
  <c r="H532"/>
  <c r="E532"/>
  <c r="G531"/>
  <c r="H531" s="1"/>
  <c r="E531"/>
  <c r="D531"/>
  <c r="K530"/>
  <c r="H530"/>
  <c r="E530"/>
  <c r="K529"/>
  <c r="H529"/>
  <c r="E529"/>
  <c r="K528"/>
  <c r="G528"/>
  <c r="D528"/>
  <c r="K527"/>
  <c r="H527"/>
  <c r="E527"/>
  <c r="K525"/>
  <c r="G525"/>
  <c r="D525"/>
  <c r="K524"/>
  <c r="G524"/>
  <c r="H524" s="1"/>
  <c r="D524"/>
  <c r="E524" s="1"/>
  <c r="K522"/>
  <c r="H522"/>
  <c r="E522"/>
  <c r="J521"/>
  <c r="I521"/>
  <c r="H521" s="1"/>
  <c r="F521"/>
  <c r="E521" s="1"/>
  <c r="K520"/>
  <c r="H520"/>
  <c r="E520"/>
  <c r="K519"/>
  <c r="H519"/>
  <c r="F519"/>
  <c r="E519" s="1"/>
  <c r="J518"/>
  <c r="I518"/>
  <c r="F518"/>
  <c r="E518" s="1"/>
  <c r="K517"/>
  <c r="H517"/>
  <c r="E517"/>
  <c r="J516"/>
  <c r="I516"/>
  <c r="F516"/>
  <c r="E516" s="1"/>
  <c r="K797"/>
  <c r="H797"/>
  <c r="E797"/>
  <c r="K796"/>
  <c r="H796"/>
  <c r="E796"/>
  <c r="K795"/>
  <c r="H795"/>
  <c r="E795"/>
  <c r="K794"/>
  <c r="H794"/>
  <c r="E794"/>
  <c r="G793"/>
  <c r="H793" s="1"/>
  <c r="D793"/>
  <c r="E793" s="1"/>
  <c r="D732"/>
  <c r="E732" s="1"/>
  <c r="D709"/>
  <c r="E709" s="1"/>
  <c r="D676"/>
  <c r="E676" s="1"/>
  <c r="K870"/>
  <c r="H870"/>
  <c r="E870"/>
  <c r="K869"/>
  <c r="G869"/>
  <c r="H869" s="1"/>
  <c r="D869"/>
  <c r="E869" s="1"/>
  <c r="K868"/>
  <c r="G868"/>
  <c r="H868" s="1"/>
  <c r="D868"/>
  <c r="E868" s="1"/>
  <c r="G867"/>
  <c r="H867" s="1"/>
  <c r="H792"/>
  <c r="E792"/>
  <c r="H791"/>
  <c r="E791"/>
  <c r="J790"/>
  <c r="J731" s="1"/>
  <c r="J708" s="1"/>
  <c r="J675" s="1"/>
  <c r="J674" s="1"/>
  <c r="I790"/>
  <c r="H790" s="1"/>
  <c r="F790"/>
  <c r="E790" s="1"/>
  <c r="H542"/>
  <c r="E542"/>
  <c r="J541"/>
  <c r="I541"/>
  <c r="G541"/>
  <c r="G536" s="1"/>
  <c r="F541"/>
  <c r="D541"/>
  <c r="J536"/>
  <c r="D536"/>
  <c r="J394"/>
  <c r="J390" s="1"/>
  <c r="I394"/>
  <c r="G394"/>
  <c r="G390" s="1"/>
  <c r="F394"/>
  <c r="D394"/>
  <c r="D390" s="1"/>
  <c r="H393"/>
  <c r="E393"/>
  <c r="H392"/>
  <c r="E392"/>
  <c r="H391"/>
  <c r="E391"/>
  <c r="I390"/>
  <c r="F390"/>
  <c r="H95"/>
  <c r="E95"/>
  <c r="J94"/>
  <c r="I94"/>
  <c r="H94" s="1"/>
  <c r="F94"/>
  <c r="E94" s="1"/>
  <c r="K61"/>
  <c r="H61"/>
  <c r="E61"/>
  <c r="J60"/>
  <c r="J54" s="1"/>
  <c r="I60"/>
  <c r="G60"/>
  <c r="F60"/>
  <c r="D60"/>
  <c r="D55" s="1"/>
  <c r="K131"/>
  <c r="H131"/>
  <c r="E131"/>
  <c r="K130"/>
  <c r="G130"/>
  <c r="H130" s="1"/>
  <c r="D130"/>
  <c r="E130" s="1"/>
  <c r="K129"/>
  <c r="H129"/>
  <c r="E129"/>
  <c r="K127"/>
  <c r="G127"/>
  <c r="H127" s="1"/>
  <c r="D127"/>
  <c r="E127" s="1"/>
  <c r="K126"/>
  <c r="G126"/>
  <c r="H126" s="1"/>
  <c r="D126"/>
  <c r="E126" s="1"/>
  <c r="D125"/>
  <c r="E125" s="1"/>
  <c r="K49"/>
  <c r="H49"/>
  <c r="E49"/>
  <c r="K48"/>
  <c r="H48"/>
  <c r="F48"/>
  <c r="E48" s="1"/>
  <c r="J47"/>
  <c r="I47"/>
  <c r="F47"/>
  <c r="E47" s="1"/>
  <c r="K46"/>
  <c r="H46"/>
  <c r="E46"/>
  <c r="J45"/>
  <c r="J44" s="1"/>
  <c r="J43" s="1"/>
  <c r="J42" s="1"/>
  <c r="I45"/>
  <c r="I44" s="1"/>
  <c r="F45"/>
  <c r="E45" s="1"/>
  <c r="K122"/>
  <c r="H122"/>
  <c r="E122"/>
  <c r="K121"/>
  <c r="H121"/>
  <c r="E121"/>
  <c r="K120"/>
  <c r="G120"/>
  <c r="H120" s="1"/>
  <c r="D120"/>
  <c r="E120" s="1"/>
  <c r="K119"/>
  <c r="G119"/>
  <c r="H119" s="1"/>
  <c r="D119"/>
  <c r="E119" s="1"/>
  <c r="K118"/>
  <c r="H118"/>
  <c r="E118"/>
  <c r="K116"/>
  <c r="G116"/>
  <c r="H116" s="1"/>
  <c r="D116"/>
  <c r="E116" s="1"/>
  <c r="K115"/>
  <c r="G115"/>
  <c r="H115" s="1"/>
  <c r="D115"/>
  <c r="E115" s="1"/>
  <c r="D114"/>
  <c r="E114" s="1"/>
  <c r="H41"/>
  <c r="E41"/>
  <c r="H40"/>
  <c r="E40"/>
  <c r="H39"/>
  <c r="E39"/>
  <c r="J38"/>
  <c r="I38"/>
  <c r="H38" s="1"/>
  <c r="F38"/>
  <c r="E38" s="1"/>
  <c r="G10"/>
  <c r="K749"/>
  <c r="H749"/>
  <c r="E749"/>
  <c r="G748"/>
  <c r="H748" s="1"/>
  <c r="D748"/>
  <c r="E748" s="1"/>
  <c r="K739"/>
  <c r="H739"/>
  <c r="F739"/>
  <c r="E739" s="1"/>
  <c r="J738"/>
  <c r="I738"/>
  <c r="H738" s="1"/>
  <c r="J737"/>
  <c r="J730"/>
  <c r="J729" s="1"/>
  <c r="J728" s="1"/>
  <c r="J727" s="1"/>
  <c r="D730"/>
  <c r="D707"/>
  <c r="D674"/>
  <c r="H754"/>
  <c r="E754"/>
  <c r="J753"/>
  <c r="I753"/>
  <c r="G753"/>
  <c r="F753"/>
  <c r="D753"/>
  <c r="D729"/>
  <c r="D706" s="1"/>
  <c r="K866"/>
  <c r="H866"/>
  <c r="E866"/>
  <c r="K865"/>
  <c r="G865"/>
  <c r="H865" s="1"/>
  <c r="D865"/>
  <c r="E865" s="1"/>
  <c r="K864"/>
  <c r="H864"/>
  <c r="E864"/>
  <c r="K863"/>
  <c r="H863"/>
  <c r="E863"/>
  <c r="G862"/>
  <c r="H862" s="1"/>
  <c r="D862"/>
  <c r="E862" s="1"/>
  <c r="H820"/>
  <c r="E820"/>
  <c r="H789"/>
  <c r="F789"/>
  <c r="E789" s="1"/>
  <c r="H788"/>
  <c r="F788"/>
  <c r="E788" s="1"/>
  <c r="J787"/>
  <c r="I787"/>
  <c r="H787" s="1"/>
  <c r="G547"/>
  <c r="H547" s="1"/>
  <c r="D547"/>
  <c r="E547" s="1"/>
  <c r="H546"/>
  <c r="E546"/>
  <c r="H545"/>
  <c r="E545"/>
  <c r="H544"/>
  <c r="E544"/>
  <c r="J543"/>
  <c r="I543"/>
  <c r="F543"/>
  <c r="J535"/>
  <c r="G535"/>
  <c r="D535"/>
  <c r="H442"/>
  <c r="E442"/>
  <c r="J441"/>
  <c r="J440" s="1"/>
  <c r="I441"/>
  <c r="G441"/>
  <c r="F441"/>
  <c r="F440" s="1"/>
  <c r="F439" s="1"/>
  <c r="D441"/>
  <c r="D440" s="1"/>
  <c r="K111"/>
  <c r="H111"/>
  <c r="E111"/>
  <c r="K110"/>
  <c r="H110"/>
  <c r="E110"/>
  <c r="G109"/>
  <c r="H109" s="1"/>
  <c r="D109"/>
  <c r="E109" s="1"/>
  <c r="K108"/>
  <c r="H108"/>
  <c r="E108"/>
  <c r="K107"/>
  <c r="H107"/>
  <c r="E107"/>
  <c r="G106"/>
  <c r="H106" s="1"/>
  <c r="D106"/>
  <c r="E106" s="1"/>
  <c r="D105"/>
  <c r="E105" s="1"/>
  <c r="D104"/>
  <c r="E104" s="1"/>
  <c r="H37"/>
  <c r="E37"/>
  <c r="H36"/>
  <c r="D36"/>
  <c r="E36" s="1"/>
  <c r="H35"/>
  <c r="E35"/>
  <c r="H34"/>
  <c r="E34"/>
  <c r="J33"/>
  <c r="I33"/>
  <c r="H33" s="1"/>
  <c r="F33"/>
  <c r="D33"/>
  <c r="J32"/>
  <c r="I32"/>
  <c r="H32" s="1"/>
  <c r="F32"/>
  <c r="E32" s="1"/>
  <c r="K31"/>
  <c r="H31"/>
  <c r="E31"/>
  <c r="K30"/>
  <c r="H30"/>
  <c r="E30"/>
  <c r="K29"/>
  <c r="H29"/>
  <c r="F29"/>
  <c r="E29" s="1"/>
  <c r="J28"/>
  <c r="I28"/>
  <c r="F28"/>
  <c r="E28" s="1"/>
  <c r="K27"/>
  <c r="H27"/>
  <c r="E27"/>
  <c r="J26"/>
  <c r="J25" s="1"/>
  <c r="I26"/>
  <c r="H26" s="1"/>
  <c r="F26"/>
  <c r="E26" s="1"/>
  <c r="K874"/>
  <c r="H874"/>
  <c r="E874"/>
  <c r="K873"/>
  <c r="H873"/>
  <c r="E873"/>
  <c r="K872"/>
  <c r="H872"/>
  <c r="E872"/>
  <c r="G871"/>
  <c r="H871" s="1"/>
  <c r="D871"/>
  <c r="E871" s="1"/>
  <c r="K838"/>
  <c r="H838"/>
  <c r="E838"/>
  <c r="K837"/>
  <c r="H837"/>
  <c r="E837"/>
  <c r="K836"/>
  <c r="H836"/>
  <c r="E836"/>
  <c r="J835"/>
  <c r="J834" s="1"/>
  <c r="J833" s="1"/>
  <c r="J819" s="1"/>
  <c r="I835"/>
  <c r="H835" s="1"/>
  <c r="F835"/>
  <c r="E835" s="1"/>
  <c r="G819"/>
  <c r="D819"/>
  <c r="K853"/>
  <c r="H853"/>
  <c r="E853"/>
  <c r="K852"/>
  <c r="H852"/>
  <c r="E852"/>
  <c r="K851"/>
  <c r="H851"/>
  <c r="E851"/>
  <c r="K850"/>
  <c r="G850"/>
  <c r="H850" s="1"/>
  <c r="D850"/>
  <c r="E850" s="1"/>
  <c r="K849"/>
  <c r="H849"/>
  <c r="E849"/>
  <c r="K848"/>
  <c r="H848"/>
  <c r="E848"/>
  <c r="G847"/>
  <c r="H847" s="1"/>
  <c r="D847"/>
  <c r="E847" s="1"/>
  <c r="K846"/>
  <c r="H846"/>
  <c r="E846"/>
  <c r="K845"/>
  <c r="H845"/>
  <c r="E845"/>
  <c r="G844"/>
  <c r="H844" s="1"/>
  <c r="D844"/>
  <c r="E844" s="1"/>
  <c r="K861"/>
  <c r="H861"/>
  <c r="E861"/>
  <c r="K860"/>
  <c r="H860"/>
  <c r="E860"/>
  <c r="K859"/>
  <c r="H859"/>
  <c r="E859"/>
  <c r="G858"/>
  <c r="H858" s="1"/>
  <c r="D858"/>
  <c r="E858" s="1"/>
  <c r="K857"/>
  <c r="H857"/>
  <c r="E857"/>
  <c r="K856"/>
  <c r="H856"/>
  <c r="E856"/>
  <c r="K855"/>
  <c r="H855"/>
  <c r="E855"/>
  <c r="G854"/>
  <c r="H854" s="1"/>
  <c r="D854"/>
  <c r="E854" s="1"/>
  <c r="H786"/>
  <c r="E786"/>
  <c r="H785"/>
  <c r="E785"/>
  <c r="J784"/>
  <c r="I784"/>
  <c r="H784" s="1"/>
  <c r="F784"/>
  <c r="E784" s="1"/>
  <c r="K832"/>
  <c r="H832"/>
  <c r="E832"/>
  <c r="K831"/>
  <c r="H831"/>
  <c r="E831"/>
  <c r="K830"/>
  <c r="H830"/>
  <c r="E830"/>
  <c r="J829"/>
  <c r="I829"/>
  <c r="H829" s="1"/>
  <c r="F829"/>
  <c r="E829" s="1"/>
  <c r="J828"/>
  <c r="J827" s="1"/>
  <c r="K826"/>
  <c r="H826"/>
  <c r="E826"/>
  <c r="K825"/>
  <c r="H825"/>
  <c r="E825"/>
  <c r="K824"/>
  <c r="H824"/>
  <c r="E824"/>
  <c r="J823"/>
  <c r="J822" s="1"/>
  <c r="J821" s="1"/>
  <c r="I823"/>
  <c r="H823" s="1"/>
  <c r="F823"/>
  <c r="E823" s="1"/>
  <c r="G818"/>
  <c r="D818"/>
  <c r="K24"/>
  <c r="H24"/>
  <c r="E24"/>
  <c r="K23"/>
  <c r="H23"/>
  <c r="F23"/>
  <c r="E23" s="1"/>
  <c r="J22"/>
  <c r="I22"/>
  <c r="F22"/>
  <c r="E22" s="1"/>
  <c r="J21"/>
  <c r="I21"/>
  <c r="I19" s="1"/>
  <c r="H19" s="1"/>
  <c r="F21"/>
  <c r="E21" s="1"/>
  <c r="J20"/>
  <c r="I20"/>
  <c r="F20"/>
  <c r="E20" s="1"/>
  <c r="K420"/>
  <c r="H420"/>
  <c r="D420"/>
  <c r="E420" s="1"/>
  <c r="G419"/>
  <c r="H419" s="1"/>
  <c r="N417"/>
  <c r="M417"/>
  <c r="L417"/>
  <c r="H417"/>
  <c r="F417"/>
  <c r="E417" s="1"/>
  <c r="J416"/>
  <c r="J415" s="1"/>
  <c r="J414" s="1"/>
  <c r="I416"/>
  <c r="H416" s="1"/>
  <c r="I415"/>
  <c r="H415" s="1"/>
  <c r="H346"/>
  <c r="E346"/>
  <c r="J345"/>
  <c r="J188" s="1"/>
  <c r="I345"/>
  <c r="H345" s="1"/>
  <c r="F345"/>
  <c r="E345" s="1"/>
  <c r="I188"/>
  <c r="H188" s="1"/>
  <c r="F188"/>
  <c r="E188" s="1"/>
  <c r="H783"/>
  <c r="E783"/>
  <c r="H782"/>
  <c r="E782"/>
  <c r="J781"/>
  <c r="I781"/>
  <c r="G781"/>
  <c r="F781"/>
  <c r="D781"/>
  <c r="D726" s="1"/>
  <c r="D703" s="1"/>
  <c r="D670" s="1"/>
  <c r="G726"/>
  <c r="G703" s="1"/>
  <c r="G670" s="1"/>
  <c r="K614"/>
  <c r="H614"/>
  <c r="E614"/>
  <c r="H613"/>
  <c r="G612"/>
  <c r="H612" s="1"/>
  <c r="D612"/>
  <c r="E612" s="1"/>
  <c r="K611"/>
  <c r="H611"/>
  <c r="E611"/>
  <c r="G610"/>
  <c r="H610" s="1"/>
  <c r="D610"/>
  <c r="E610" s="1"/>
  <c r="K609"/>
  <c r="H609"/>
  <c r="E609"/>
  <c r="K608"/>
  <c r="H608"/>
  <c r="E608"/>
  <c r="K607"/>
  <c r="G607"/>
  <c r="H607" s="1"/>
  <c r="D607"/>
  <c r="E607" s="1"/>
  <c r="K606"/>
  <c r="G606"/>
  <c r="H606" s="1"/>
  <c r="D606"/>
  <c r="E606" s="1"/>
  <c r="K605"/>
  <c r="H605"/>
  <c r="E605"/>
  <c r="K603"/>
  <c r="G603"/>
  <c r="H603" s="1"/>
  <c r="D603"/>
  <c r="E603" s="1"/>
  <c r="K602"/>
  <c r="G602"/>
  <c r="H602" s="1"/>
  <c r="D602"/>
  <c r="E602" s="1"/>
  <c r="J600"/>
  <c r="J599" s="1"/>
  <c r="I600"/>
  <c r="F600"/>
  <c r="E600" s="1"/>
  <c r="K598"/>
  <c r="H598"/>
  <c r="E598"/>
  <c r="J597"/>
  <c r="I597"/>
  <c r="F597"/>
  <c r="E597" s="1"/>
  <c r="K596"/>
  <c r="H596"/>
  <c r="F596"/>
  <c r="E596" s="1"/>
  <c r="J595"/>
  <c r="I595"/>
  <c r="F595"/>
  <c r="E595" s="1"/>
  <c r="K594"/>
  <c r="H594"/>
  <c r="E594"/>
  <c r="J593"/>
  <c r="I593"/>
  <c r="H593" s="1"/>
  <c r="F593"/>
  <c r="E593" s="1"/>
  <c r="I592"/>
  <c r="H592" s="1"/>
  <c r="N648"/>
  <c r="M648"/>
  <c r="L648"/>
  <c r="H648"/>
  <c r="F648"/>
  <c r="E648" s="1"/>
  <c r="J647"/>
  <c r="I647"/>
  <c r="H647" s="1"/>
  <c r="F647"/>
  <c r="E647" s="1"/>
  <c r="H618"/>
  <c r="E618"/>
  <c r="J617"/>
  <c r="I617"/>
  <c r="G617"/>
  <c r="F617"/>
  <c r="D617"/>
  <c r="H616"/>
  <c r="E616"/>
  <c r="J615"/>
  <c r="I615"/>
  <c r="G615"/>
  <c r="F615"/>
  <c r="D615"/>
  <c r="K622"/>
  <c r="H622"/>
  <c r="E622"/>
  <c r="G621"/>
  <c r="H621" s="1"/>
  <c r="D621"/>
  <c r="E621" s="1"/>
  <c r="N620"/>
  <c r="M620"/>
  <c r="L620"/>
  <c r="J620"/>
  <c r="J619" s="1"/>
  <c r="I620"/>
  <c r="G620"/>
  <c r="F620"/>
  <c r="D620"/>
  <c r="D619" s="1"/>
  <c r="I619"/>
  <c r="G619"/>
  <c r="K780"/>
  <c r="H780"/>
  <c r="E780"/>
  <c r="K779"/>
  <c r="H779"/>
  <c r="E779"/>
  <c r="K778"/>
  <c r="H778"/>
  <c r="E778"/>
  <c r="H777"/>
  <c r="E777"/>
  <c r="H776"/>
  <c r="E776"/>
  <c r="J775"/>
  <c r="I775"/>
  <c r="G775"/>
  <c r="F775"/>
  <c r="D775"/>
  <c r="G725"/>
  <c r="G702" s="1"/>
  <c r="G669" s="1"/>
  <c r="K646"/>
  <c r="H646"/>
  <c r="E646"/>
  <c r="G645"/>
  <c r="H645" s="1"/>
  <c r="D645"/>
  <c r="E645" s="1"/>
  <c r="K644"/>
  <c r="G644"/>
  <c r="H644" s="1"/>
  <c r="D644"/>
  <c r="E644" s="1"/>
  <c r="K643"/>
  <c r="H643"/>
  <c r="E643"/>
  <c r="K642"/>
  <c r="H642"/>
  <c r="E642"/>
  <c r="K641"/>
  <c r="G641"/>
  <c r="H641" s="1"/>
  <c r="D641"/>
  <c r="E641" s="1"/>
  <c r="K640"/>
  <c r="H640"/>
  <c r="E640"/>
  <c r="K638"/>
  <c r="G638"/>
  <c r="H638" s="1"/>
  <c r="D638"/>
  <c r="E638" s="1"/>
  <c r="K637"/>
  <c r="G637"/>
  <c r="H637" s="1"/>
  <c r="D637"/>
  <c r="E637" s="1"/>
  <c r="K635"/>
  <c r="H635"/>
  <c r="E635"/>
  <c r="J634"/>
  <c r="I634"/>
  <c r="H634" s="1"/>
  <c r="F634"/>
  <c r="E634" s="1"/>
  <c r="J633"/>
  <c r="I633"/>
  <c r="F633"/>
  <c r="E633" s="1"/>
  <c r="K632"/>
  <c r="H632"/>
  <c r="E632"/>
  <c r="K631"/>
  <c r="H631"/>
  <c r="E631"/>
  <c r="K630"/>
  <c r="H630"/>
  <c r="F630"/>
  <c r="E630" s="1"/>
  <c r="J629"/>
  <c r="I629"/>
  <c r="F629"/>
  <c r="E629" s="1"/>
  <c r="K628"/>
  <c r="H628"/>
  <c r="E628"/>
  <c r="J627"/>
  <c r="J626" s="1"/>
  <c r="I627"/>
  <c r="I626" s="1"/>
  <c r="H626" s="1"/>
  <c r="F627"/>
  <c r="E627" s="1"/>
  <c r="K658"/>
  <c r="H658"/>
  <c r="E658"/>
  <c r="K657"/>
  <c r="G657"/>
  <c r="H657" s="1"/>
  <c r="D657"/>
  <c r="E657" s="1"/>
  <c r="K656"/>
  <c r="H656"/>
  <c r="E656"/>
  <c r="K654"/>
  <c r="G654"/>
  <c r="H654" s="1"/>
  <c r="D654"/>
  <c r="E654" s="1"/>
  <c r="K653"/>
  <c r="G653"/>
  <c r="H653" s="1"/>
  <c r="D653"/>
  <c r="E653" s="1"/>
  <c r="K507"/>
  <c r="H507"/>
  <c r="E507"/>
  <c r="K506"/>
  <c r="H506"/>
  <c r="F506"/>
  <c r="E506" s="1"/>
  <c r="K505"/>
  <c r="H505"/>
  <c r="E505"/>
  <c r="K504"/>
  <c r="H504"/>
  <c r="E504"/>
  <c r="J503"/>
  <c r="J502" s="1"/>
  <c r="J501" s="1"/>
  <c r="J500" s="1"/>
  <c r="I503"/>
  <c r="H503" s="1"/>
  <c r="F503"/>
  <c r="E503"/>
  <c r="I502"/>
  <c r="H502" s="1"/>
  <c r="F502"/>
  <c r="E502" s="1"/>
  <c r="K588"/>
  <c r="G588"/>
  <c r="H588" s="1"/>
  <c r="D588"/>
  <c r="E588" s="1"/>
  <c r="K587"/>
  <c r="G587"/>
  <c r="H587" s="1"/>
  <c r="D587"/>
  <c r="E587" s="1"/>
  <c r="J586"/>
  <c r="I586"/>
  <c r="F586"/>
  <c r="H774"/>
  <c r="E774"/>
  <c r="H773"/>
  <c r="E773"/>
  <c r="J772"/>
  <c r="I772"/>
  <c r="G772"/>
  <c r="F772"/>
  <c r="D772"/>
  <c r="K585"/>
  <c r="G585"/>
  <c r="H585" s="1"/>
  <c r="D585"/>
  <c r="E585" s="1"/>
  <c r="G584"/>
  <c r="H584" s="1"/>
  <c r="D584"/>
  <c r="E584" s="1"/>
  <c r="K583"/>
  <c r="G583"/>
  <c r="H583" s="1"/>
  <c r="D583"/>
  <c r="E583" s="1"/>
  <c r="K582"/>
  <c r="H582"/>
  <c r="E582"/>
  <c r="K581"/>
  <c r="G581"/>
  <c r="H581" s="1"/>
  <c r="D581"/>
  <c r="E581" s="1"/>
  <c r="K580"/>
  <c r="H580"/>
  <c r="E580"/>
  <c r="K579"/>
  <c r="G579"/>
  <c r="H579" s="1"/>
  <c r="D579"/>
  <c r="E579" s="1"/>
  <c r="K578"/>
  <c r="H578"/>
  <c r="E578"/>
  <c r="K576"/>
  <c r="G576"/>
  <c r="H576" s="1"/>
  <c r="D576"/>
  <c r="E576" s="1"/>
  <c r="K575"/>
  <c r="G575"/>
  <c r="H575" s="1"/>
  <c r="D575"/>
  <c r="E575" s="1"/>
  <c r="K573"/>
  <c r="H573"/>
  <c r="E573"/>
  <c r="J572"/>
  <c r="I572"/>
  <c r="H572" s="1"/>
  <c r="F572"/>
  <c r="E572" s="1"/>
  <c r="K571"/>
  <c r="H571"/>
  <c r="E571"/>
  <c r="K570"/>
  <c r="H570"/>
  <c r="E570"/>
  <c r="K569"/>
  <c r="H569"/>
  <c r="E569"/>
  <c r="K568"/>
  <c r="H568"/>
  <c r="F568"/>
  <c r="E568" s="1"/>
  <c r="J567"/>
  <c r="I567"/>
  <c r="K567" s="1"/>
  <c r="F567"/>
  <c r="E567" s="1"/>
  <c r="K566"/>
  <c r="H566"/>
  <c r="E566"/>
  <c r="J565"/>
  <c r="I565"/>
  <c r="K565" s="1"/>
  <c r="F565"/>
  <c r="E565" s="1"/>
  <c r="J564"/>
  <c r="J563" s="1"/>
  <c r="H91"/>
  <c r="E91"/>
  <c r="J90"/>
  <c r="I90"/>
  <c r="G90"/>
  <c r="F90"/>
  <c r="D90"/>
  <c r="K745"/>
  <c r="H745"/>
  <c r="F745"/>
  <c r="E745" s="1"/>
  <c r="J744"/>
  <c r="I744"/>
  <c r="H744" s="1"/>
  <c r="G744"/>
  <c r="F744"/>
  <c r="D744"/>
  <c r="G723"/>
  <c r="H752"/>
  <c r="E752"/>
  <c r="J751"/>
  <c r="I751"/>
  <c r="G751"/>
  <c r="F751"/>
  <c r="D751"/>
  <c r="K750"/>
  <c r="H750"/>
  <c r="E750"/>
  <c r="J743"/>
  <c r="I743"/>
  <c r="I742" s="1"/>
  <c r="H742" s="1"/>
  <c r="G743"/>
  <c r="F743"/>
  <c r="D743"/>
  <c r="K747"/>
  <c r="H747"/>
  <c r="E747"/>
  <c r="J746"/>
  <c r="I746"/>
  <c r="G746"/>
  <c r="F746"/>
  <c r="D746"/>
  <c r="K716"/>
  <c r="H716"/>
  <c r="F716"/>
  <c r="E716" s="1"/>
  <c r="J715"/>
  <c r="J714" s="1"/>
  <c r="I715"/>
  <c r="H715" s="1"/>
  <c r="K816"/>
  <c r="H816"/>
  <c r="E816"/>
  <c r="K815"/>
  <c r="G815"/>
  <c r="H815" s="1"/>
  <c r="D815"/>
  <c r="E815" s="1"/>
  <c r="K814"/>
  <c r="H814"/>
  <c r="E814"/>
  <c r="G813"/>
  <c r="H813" s="1"/>
  <c r="K812"/>
  <c r="H812"/>
  <c r="E812"/>
  <c r="K811"/>
  <c r="H811"/>
  <c r="E811"/>
  <c r="G810"/>
  <c r="H810" s="1"/>
  <c r="D810"/>
  <c r="E810" s="1"/>
  <c r="H771"/>
  <c r="E771"/>
  <c r="H770"/>
  <c r="E770"/>
  <c r="J769"/>
  <c r="I769"/>
  <c r="H769" s="1"/>
  <c r="F769"/>
  <c r="E769" s="1"/>
  <c r="K688"/>
  <c r="H688"/>
  <c r="E688"/>
  <c r="K687"/>
  <c r="H687"/>
  <c r="F687"/>
  <c r="E687" s="1"/>
  <c r="J686"/>
  <c r="I686"/>
  <c r="F686"/>
  <c r="E686" s="1"/>
  <c r="K685"/>
  <c r="H685"/>
  <c r="E685"/>
  <c r="J684"/>
  <c r="J683" s="1"/>
  <c r="J682" s="1"/>
  <c r="J681" s="1"/>
  <c r="I684"/>
  <c r="F684"/>
  <c r="E684" s="1"/>
  <c r="H696"/>
  <c r="E696"/>
  <c r="K337"/>
  <c r="H337"/>
  <c r="E337"/>
  <c r="J336"/>
  <c r="J335" s="1"/>
  <c r="J333" s="1"/>
  <c r="J187" s="1"/>
  <c r="I336"/>
  <c r="H336" s="1"/>
  <c r="F336"/>
  <c r="E336" s="1"/>
  <c r="I335"/>
  <c r="H335" s="1"/>
  <c r="F335"/>
  <c r="E335" s="1"/>
  <c r="H437"/>
  <c r="E437"/>
  <c r="J436"/>
  <c r="I436"/>
  <c r="G436"/>
  <c r="F436"/>
  <c r="D436"/>
  <c r="D425" s="1"/>
  <c r="N448"/>
  <c r="M448"/>
  <c r="L448"/>
  <c r="J448"/>
  <c r="I448"/>
  <c r="G448"/>
  <c r="G447" s="1"/>
  <c r="F448"/>
  <c r="F447" s="1"/>
  <c r="D448"/>
  <c r="D447" s="1"/>
  <c r="J447"/>
  <c r="H691"/>
  <c r="E691"/>
  <c r="H690"/>
  <c r="E690"/>
  <c r="J689"/>
  <c r="I689"/>
  <c r="H689" s="1"/>
  <c r="F689"/>
  <c r="E689" s="1"/>
  <c r="K768"/>
  <c r="H768"/>
  <c r="E768"/>
  <c r="K767"/>
  <c r="H767"/>
  <c r="E767"/>
  <c r="H766"/>
  <c r="E766"/>
  <c r="H765"/>
  <c r="E765"/>
  <c r="J764"/>
  <c r="I764"/>
  <c r="G764"/>
  <c r="F764"/>
  <c r="D764"/>
  <c r="J695"/>
  <c r="I695"/>
  <c r="F695"/>
  <c r="D695"/>
  <c r="K489"/>
  <c r="H489"/>
  <c r="E489"/>
  <c r="G488"/>
  <c r="H488" s="1"/>
  <c r="D488"/>
  <c r="E488" s="1"/>
  <c r="K487"/>
  <c r="H487"/>
  <c r="E487"/>
  <c r="G486"/>
  <c r="H486" s="1"/>
  <c r="D486"/>
  <c r="E486" s="1"/>
  <c r="K485"/>
  <c r="H485"/>
  <c r="E485"/>
  <c r="K484"/>
  <c r="G484"/>
  <c r="H484" s="1"/>
  <c r="D484"/>
  <c r="E484" s="1"/>
  <c r="K483"/>
  <c r="H483"/>
  <c r="E483"/>
  <c r="D482"/>
  <c r="E482" s="1"/>
  <c r="K481"/>
  <c r="G481"/>
  <c r="H481" s="1"/>
  <c r="D481"/>
  <c r="E481" s="1"/>
  <c r="K480"/>
  <c r="G480"/>
  <c r="H480" s="1"/>
  <c r="D480"/>
  <c r="E480" s="1"/>
  <c r="D479"/>
  <c r="E479" s="1"/>
  <c r="D478"/>
  <c r="E478" s="1"/>
  <c r="H181"/>
  <c r="E181"/>
  <c r="H180"/>
  <c r="E180"/>
  <c r="J179"/>
  <c r="I179"/>
  <c r="G179"/>
  <c r="F179"/>
  <c r="D179"/>
  <c r="K178"/>
  <c r="H178"/>
  <c r="E178"/>
  <c r="J177"/>
  <c r="I177"/>
  <c r="H177" s="1"/>
  <c r="F177"/>
  <c r="E177" s="1"/>
  <c r="K176"/>
  <c r="H176"/>
  <c r="E176"/>
  <c r="K175"/>
  <c r="H175"/>
  <c r="F175"/>
  <c r="E175" s="1"/>
  <c r="J174"/>
  <c r="I174"/>
  <c r="F174"/>
  <c r="E174" s="1"/>
  <c r="K173"/>
  <c r="H173"/>
  <c r="E173"/>
  <c r="J172"/>
  <c r="J171" s="1"/>
  <c r="J170" s="1"/>
  <c r="J169" s="1"/>
  <c r="I172"/>
  <c r="H172" s="1"/>
  <c r="F172"/>
  <c r="E172" s="1"/>
  <c r="I171"/>
  <c r="H171" s="1"/>
  <c r="F171"/>
  <c r="E171" s="1"/>
  <c r="K477"/>
  <c r="H477"/>
  <c r="E477"/>
  <c r="K476"/>
  <c r="H476"/>
  <c r="E476"/>
  <c r="K475"/>
  <c r="G475"/>
  <c r="H475" s="1"/>
  <c r="D475"/>
  <c r="E475" s="1"/>
  <c r="K474"/>
  <c r="H474"/>
  <c r="E474"/>
  <c r="D473"/>
  <c r="E473" s="1"/>
  <c r="K472"/>
  <c r="G472"/>
  <c r="H472" s="1"/>
  <c r="D472"/>
  <c r="E472" s="1"/>
  <c r="K471"/>
  <c r="G471"/>
  <c r="H471" s="1"/>
  <c r="D471"/>
  <c r="E471" s="1"/>
  <c r="K467"/>
  <c r="H467"/>
  <c r="E467"/>
  <c r="G466"/>
  <c r="H466" s="1"/>
  <c r="D466"/>
  <c r="E466" s="1"/>
  <c r="K465"/>
  <c r="H465"/>
  <c r="E465"/>
  <c r="K464"/>
  <c r="H464"/>
  <c r="E464"/>
  <c r="G463"/>
  <c r="H463" s="1"/>
  <c r="D463"/>
  <c r="E463" s="1"/>
  <c r="K168"/>
  <c r="H168"/>
  <c r="E168"/>
  <c r="K167"/>
  <c r="H167"/>
  <c r="E167"/>
  <c r="K166"/>
  <c r="H166"/>
  <c r="E166"/>
  <c r="K165"/>
  <c r="H165"/>
  <c r="F165"/>
  <c r="E165" s="1"/>
  <c r="J164"/>
  <c r="I164"/>
  <c r="F164"/>
  <c r="E164" s="1"/>
  <c r="K163"/>
  <c r="H163"/>
  <c r="E163"/>
  <c r="J162"/>
  <c r="J161" s="1"/>
  <c r="I162"/>
  <c r="I161" s="1"/>
  <c r="H161" s="1"/>
  <c r="F162"/>
  <c r="E162" s="1"/>
  <c r="G152"/>
  <c r="D152"/>
  <c r="K341"/>
  <c r="H341"/>
  <c r="E341"/>
  <c r="G340"/>
  <c r="H340" s="1"/>
  <c r="D340"/>
  <c r="E340" s="1"/>
  <c r="K330"/>
  <c r="H330"/>
  <c r="E330"/>
  <c r="J329"/>
  <c r="I329"/>
  <c r="H329" s="1"/>
  <c r="F329"/>
  <c r="E329" s="1"/>
  <c r="K328"/>
  <c r="H328"/>
  <c r="E328"/>
  <c r="J327"/>
  <c r="J326" s="1"/>
  <c r="J321" s="1"/>
  <c r="I327"/>
  <c r="H327" s="1"/>
  <c r="F327"/>
  <c r="E327" s="1"/>
  <c r="F326"/>
  <c r="E326" s="1"/>
  <c r="I321"/>
  <c r="G321"/>
  <c r="F321"/>
  <c r="D321"/>
  <c r="K318"/>
  <c r="H318"/>
  <c r="E318"/>
  <c r="J317"/>
  <c r="J315" s="1"/>
  <c r="I317"/>
  <c r="I315" s="1"/>
  <c r="G317"/>
  <c r="F317"/>
  <c r="D317"/>
  <c r="D315" s="1"/>
  <c r="H316"/>
  <c r="E316"/>
  <c r="G315"/>
  <c r="F315"/>
  <c r="K314"/>
  <c r="H314"/>
  <c r="E314"/>
  <c r="G313"/>
  <c r="H313" s="1"/>
  <c r="D313"/>
  <c r="E313" s="1"/>
  <c r="G312"/>
  <c r="H312" s="1"/>
  <c r="D312"/>
  <c r="E312" s="1"/>
  <c r="K311"/>
  <c r="H311"/>
  <c r="E311"/>
  <c r="J310"/>
  <c r="I310"/>
  <c r="H310" s="1"/>
  <c r="F310"/>
  <c r="E310" s="1"/>
  <c r="J306"/>
  <c r="J298" s="1"/>
  <c r="F306"/>
  <c r="E306" s="1"/>
  <c r="F298"/>
  <c r="E298" s="1"/>
  <c r="J297"/>
  <c r="J294" s="1"/>
  <c r="I297"/>
  <c r="H297" s="1"/>
  <c r="F297"/>
  <c r="E297" s="1"/>
  <c r="K296"/>
  <c r="H296"/>
  <c r="E296"/>
  <c r="K295"/>
  <c r="H295"/>
  <c r="E295"/>
  <c r="I294"/>
  <c r="G294"/>
  <c r="F294"/>
  <c r="D294"/>
  <c r="K288"/>
  <c r="G288"/>
  <c r="H288" s="1"/>
  <c r="D288"/>
  <c r="E288" s="1"/>
  <c r="G287"/>
  <c r="H287" s="1"/>
  <c r="D287"/>
  <c r="E287" s="1"/>
  <c r="K286"/>
  <c r="H286"/>
  <c r="E286"/>
  <c r="K285"/>
  <c r="H285"/>
  <c r="E285"/>
  <c r="G284"/>
  <c r="H284" s="1"/>
  <c r="D284"/>
  <c r="E284" s="1"/>
  <c r="K283"/>
  <c r="H283"/>
  <c r="E283"/>
  <c r="G282"/>
  <c r="H282" s="1"/>
  <c r="K281"/>
  <c r="G281"/>
  <c r="H281" s="1"/>
  <c r="D281"/>
  <c r="E281" s="1"/>
  <c r="G280"/>
  <c r="H280" s="1"/>
  <c r="K279"/>
  <c r="H279"/>
  <c r="E279"/>
  <c r="K278"/>
  <c r="H278"/>
  <c r="E278"/>
  <c r="G277"/>
  <c r="H277" s="1"/>
  <c r="D277"/>
  <c r="E277" s="1"/>
  <c r="K276"/>
  <c r="H276"/>
  <c r="E276"/>
  <c r="J274"/>
  <c r="J273" s="1"/>
  <c r="I274"/>
  <c r="F274"/>
  <c r="E274" s="1"/>
  <c r="K272"/>
  <c r="H272"/>
  <c r="F272"/>
  <c r="E272" s="1"/>
  <c r="J271"/>
  <c r="I271"/>
  <c r="H271" s="1"/>
  <c r="F271"/>
  <c r="E271" s="1"/>
  <c r="G266"/>
  <c r="D266"/>
  <c r="H763"/>
  <c r="F763"/>
  <c r="E763" s="1"/>
  <c r="L762"/>
  <c r="H762"/>
  <c r="F762"/>
  <c r="E762" s="1"/>
  <c r="J761"/>
  <c r="I761"/>
  <c r="H761" s="1"/>
  <c r="G761"/>
  <c r="D761"/>
  <c r="J694"/>
  <c r="D694"/>
  <c r="N344"/>
  <c r="M344"/>
  <c r="L344"/>
  <c r="J344"/>
  <c r="I344"/>
  <c r="G344"/>
  <c r="F344"/>
  <c r="D344"/>
  <c r="J343"/>
  <c r="J342" s="1"/>
  <c r="G343"/>
  <c r="G342" s="1"/>
  <c r="D343"/>
  <c r="D342" s="1"/>
  <c r="K332"/>
  <c r="G332"/>
  <c r="H332" s="1"/>
  <c r="D332"/>
  <c r="E332" s="1"/>
  <c r="K325"/>
  <c r="G325"/>
  <c r="H325" s="1"/>
  <c r="D325"/>
  <c r="E325" s="1"/>
  <c r="G324"/>
  <c r="H324" s="1"/>
  <c r="D324"/>
  <c r="E324" s="1"/>
  <c r="D320"/>
  <c r="E320" s="1"/>
  <c r="N264"/>
  <c r="M264"/>
  <c r="L264"/>
  <c r="J264"/>
  <c r="J263" s="1"/>
  <c r="I264"/>
  <c r="H264" s="1"/>
  <c r="F264"/>
  <c r="E264" s="1"/>
  <c r="I263"/>
  <c r="H263" s="1"/>
  <c r="J262"/>
  <c r="I262"/>
  <c r="G262"/>
  <c r="G260" s="1"/>
  <c r="F262"/>
  <c r="D262"/>
  <c r="J261"/>
  <c r="I261"/>
  <c r="H261" s="1"/>
  <c r="G261"/>
  <c r="F261"/>
  <c r="E261" s="1"/>
  <c r="D261"/>
  <c r="J260"/>
  <c r="D260"/>
  <c r="H259"/>
  <c r="E259"/>
  <c r="J258"/>
  <c r="I258"/>
  <c r="H258" s="1"/>
  <c r="G258"/>
  <c r="E258"/>
  <c r="H257"/>
  <c r="E257"/>
  <c r="J256"/>
  <c r="I256"/>
  <c r="G256"/>
  <c r="G255" s="1"/>
  <c r="D256"/>
  <c r="E256" s="1"/>
  <c r="F255"/>
  <c r="K254"/>
  <c r="H254"/>
  <c r="E254"/>
  <c r="K253"/>
  <c r="H253"/>
  <c r="E253"/>
  <c r="J252"/>
  <c r="J251" s="1"/>
  <c r="I252"/>
  <c r="H252" s="1"/>
  <c r="F252"/>
  <c r="E252" s="1"/>
  <c r="I251"/>
  <c r="H251" s="1"/>
  <c r="K250"/>
  <c r="H250"/>
  <c r="E250"/>
  <c r="G249"/>
  <c r="H249" s="1"/>
  <c r="D249"/>
  <c r="E249" s="1"/>
  <c r="K248"/>
  <c r="G248"/>
  <c r="H248" s="1"/>
  <c r="D248"/>
  <c r="E248" s="1"/>
  <c r="K246"/>
  <c r="H246"/>
  <c r="E246"/>
  <c r="K245"/>
  <c r="H245"/>
  <c r="E245"/>
  <c r="K244"/>
  <c r="G244"/>
  <c r="H244" s="1"/>
  <c r="D244"/>
  <c r="E244" s="1"/>
  <c r="K243"/>
  <c r="G243"/>
  <c r="H243" s="1"/>
  <c r="D243"/>
  <c r="E243" s="1"/>
  <c r="K242"/>
  <c r="H242"/>
  <c r="E242"/>
  <c r="K241"/>
  <c r="H241"/>
  <c r="E241"/>
  <c r="G240"/>
  <c r="H240" s="1"/>
  <c r="K239"/>
  <c r="G239"/>
  <c r="H239" s="1"/>
  <c r="D239"/>
  <c r="E239" s="1"/>
  <c r="K238"/>
  <c r="G238"/>
  <c r="H238" s="1"/>
  <c r="D238"/>
  <c r="E238" s="1"/>
  <c r="K236"/>
  <c r="H236"/>
  <c r="E236"/>
  <c r="J235"/>
  <c r="I235"/>
  <c r="H235" s="1"/>
  <c r="F235"/>
  <c r="E235" s="1"/>
  <c r="J234"/>
  <c r="J233" s="1"/>
  <c r="I234"/>
  <c r="F234"/>
  <c r="E234" s="1"/>
  <c r="K232"/>
  <c r="H232"/>
  <c r="E232"/>
  <c r="K231"/>
  <c r="H231"/>
  <c r="E231"/>
  <c r="J230"/>
  <c r="I230"/>
  <c r="F230"/>
  <c r="E230" s="1"/>
  <c r="I229"/>
  <c r="K229" s="1"/>
  <c r="F229"/>
  <c r="E229" s="1"/>
  <c r="J228"/>
  <c r="I228"/>
  <c r="F228"/>
  <c r="E228" s="1"/>
  <c r="K227"/>
  <c r="H227"/>
  <c r="E227"/>
  <c r="J226"/>
  <c r="I226"/>
  <c r="H226" s="1"/>
  <c r="F226"/>
  <c r="E226" s="1"/>
  <c r="H760"/>
  <c r="E760"/>
  <c r="H759"/>
  <c r="E759"/>
  <c r="J758"/>
  <c r="I758"/>
  <c r="G758"/>
  <c r="F758"/>
  <c r="D758"/>
  <c r="K323"/>
  <c r="H323"/>
  <c r="E323"/>
  <c r="G322"/>
  <c r="H322" s="1"/>
  <c r="D322"/>
  <c r="E322" s="1"/>
  <c r="D319"/>
  <c r="E319" s="1"/>
  <c r="H219"/>
  <c r="E219"/>
  <c r="J218"/>
  <c r="I218"/>
  <c r="G218"/>
  <c r="F218"/>
  <c r="D218"/>
  <c r="H222"/>
  <c r="E222"/>
  <c r="N221"/>
  <c r="M221"/>
  <c r="L221"/>
  <c r="H221"/>
  <c r="E221"/>
  <c r="J220"/>
  <c r="I220"/>
  <c r="G220"/>
  <c r="F220"/>
  <c r="D220"/>
  <c r="H217"/>
  <c r="E217"/>
  <c r="H216"/>
  <c r="E216"/>
  <c r="H215"/>
  <c r="E215"/>
  <c r="H214"/>
  <c r="E214"/>
  <c r="J213"/>
  <c r="I213"/>
  <c r="G213"/>
  <c r="F213"/>
  <c r="D213"/>
  <c r="K212"/>
  <c r="H212"/>
  <c r="E212"/>
  <c r="J211"/>
  <c r="J210" s="1"/>
  <c r="I211"/>
  <c r="H211" s="1"/>
  <c r="F211"/>
  <c r="E211" s="1"/>
  <c r="I210"/>
  <c r="H210" s="1"/>
  <c r="K209"/>
  <c r="H209"/>
  <c r="E209"/>
  <c r="G208"/>
  <c r="H208" s="1"/>
  <c r="D208"/>
  <c r="E208" s="1"/>
  <c r="K207"/>
  <c r="H207"/>
  <c r="E207"/>
  <c r="K206"/>
  <c r="G206"/>
  <c r="H206" s="1"/>
  <c r="D206"/>
  <c r="E206" s="1"/>
  <c r="K205"/>
  <c r="H205"/>
  <c r="E205"/>
  <c r="K203"/>
  <c r="G203"/>
  <c r="H203" s="1"/>
  <c r="D203"/>
  <c r="E203" s="1"/>
  <c r="K202"/>
  <c r="G202"/>
  <c r="H202" s="1"/>
  <c r="D202"/>
  <c r="E202" s="1"/>
  <c r="K200"/>
  <c r="H200"/>
  <c r="E200"/>
  <c r="J199"/>
  <c r="I199"/>
  <c r="H199" s="1"/>
  <c r="F199"/>
  <c r="E199" s="1"/>
  <c r="K198"/>
  <c r="H198"/>
  <c r="E198"/>
  <c r="J197"/>
  <c r="I197"/>
  <c r="F197"/>
  <c r="E197" s="1"/>
  <c r="J196"/>
  <c r="I196"/>
  <c r="H196" s="1"/>
  <c r="F196"/>
  <c r="E196" s="1"/>
  <c r="K195"/>
  <c r="H195"/>
  <c r="E195"/>
  <c r="J194"/>
  <c r="I194"/>
  <c r="F194"/>
  <c r="E194" s="1"/>
  <c r="J193"/>
  <c r="J192" s="1"/>
  <c r="J191" s="1"/>
  <c r="H757"/>
  <c r="E757"/>
  <c r="H756"/>
  <c r="E756"/>
  <c r="J755"/>
  <c r="I755"/>
  <c r="G755"/>
  <c r="F755"/>
  <c r="D755"/>
  <c r="K460"/>
  <c r="G460"/>
  <c r="H460" s="1"/>
  <c r="D460"/>
  <c r="E460" s="1"/>
  <c r="K459"/>
  <c r="H459"/>
  <c r="E459"/>
  <c r="K457"/>
  <c r="G457"/>
  <c r="H457" s="1"/>
  <c r="D457"/>
  <c r="E457" s="1"/>
  <c r="K456"/>
  <c r="G456"/>
  <c r="H456" s="1"/>
  <c r="D456"/>
  <c r="E456" s="1"/>
  <c r="K160"/>
  <c r="H160"/>
  <c r="E160"/>
  <c r="K159"/>
  <c r="H159"/>
  <c r="F159"/>
  <c r="E159" s="1"/>
  <c r="J158"/>
  <c r="J155" s="1"/>
  <c r="I158"/>
  <c r="F158"/>
  <c r="E158" s="1"/>
  <c r="K157"/>
  <c r="H157"/>
  <c r="E157"/>
  <c r="J156"/>
  <c r="I156"/>
  <c r="K156" s="1"/>
  <c r="F156"/>
  <c r="E156" s="1"/>
  <c r="K398"/>
  <c r="G398"/>
  <c r="H398" s="1"/>
  <c r="D398"/>
  <c r="E398" s="1"/>
  <c r="K396"/>
  <c r="G396"/>
  <c r="H396" s="1"/>
  <c r="D396"/>
  <c r="E396" s="1"/>
  <c r="D395"/>
  <c r="E395" s="1"/>
  <c r="K389"/>
  <c r="H389"/>
  <c r="G389"/>
  <c r="E389"/>
  <c r="D389"/>
  <c r="D387" s="1"/>
  <c r="E387" s="1"/>
  <c r="K388"/>
  <c r="H388"/>
  <c r="E388"/>
  <c r="G387"/>
  <c r="H387" s="1"/>
  <c r="K386"/>
  <c r="H386"/>
  <c r="E386"/>
  <c r="K385"/>
  <c r="H385"/>
  <c r="E385"/>
  <c r="G384"/>
  <c r="H384" s="1"/>
  <c r="D384"/>
  <c r="E384" s="1"/>
  <c r="K383"/>
  <c r="H383"/>
  <c r="E383"/>
  <c r="K382"/>
  <c r="H382"/>
  <c r="F382"/>
  <c r="E382" s="1"/>
  <c r="K381"/>
  <c r="H381"/>
  <c r="E381"/>
  <c r="K380"/>
  <c r="H380"/>
  <c r="E380"/>
  <c r="K379"/>
  <c r="H379"/>
  <c r="E379"/>
  <c r="J378"/>
  <c r="J377" s="1"/>
  <c r="I378"/>
  <c r="H378" s="1"/>
  <c r="F378"/>
  <c r="E378" s="1"/>
  <c r="N374"/>
  <c r="M374"/>
  <c r="L374"/>
  <c r="J374"/>
  <c r="J373" s="1"/>
  <c r="I374"/>
  <c r="H374" s="1"/>
  <c r="G374"/>
  <c r="G373" s="1"/>
  <c r="F374"/>
  <c r="D374"/>
  <c r="D373" s="1"/>
  <c r="K372"/>
  <c r="H372"/>
  <c r="E372"/>
  <c r="G371"/>
  <c r="H371" s="1"/>
  <c r="D371"/>
  <c r="E371" s="1"/>
  <c r="K370"/>
  <c r="H370"/>
  <c r="E370"/>
  <c r="K369"/>
  <c r="G369"/>
  <c r="H369" s="1"/>
  <c r="D369"/>
  <c r="E369" s="1"/>
  <c r="K368"/>
  <c r="G368"/>
  <c r="H368" s="1"/>
  <c r="D368"/>
  <c r="E368" s="1"/>
  <c r="K367"/>
  <c r="G367"/>
  <c r="H367" s="1"/>
  <c r="D367"/>
  <c r="E367" s="1"/>
  <c r="K366"/>
  <c r="H366"/>
  <c r="E366"/>
  <c r="K364"/>
  <c r="H364"/>
  <c r="E364"/>
  <c r="K363"/>
  <c r="H363"/>
  <c r="E363"/>
  <c r="G362"/>
  <c r="H362" s="1"/>
  <c r="F362"/>
  <c r="D362"/>
  <c r="E362" s="1"/>
  <c r="K361"/>
  <c r="H361"/>
  <c r="E361"/>
  <c r="J360"/>
  <c r="I360"/>
  <c r="H360" s="1"/>
  <c r="F360"/>
  <c r="E360" s="1"/>
  <c r="K359"/>
  <c r="H359"/>
  <c r="E359"/>
  <c r="J358"/>
  <c r="J353" s="1"/>
  <c r="I358"/>
  <c r="F358"/>
  <c r="E358" s="1"/>
  <c r="K357"/>
  <c r="H357"/>
  <c r="F357"/>
  <c r="E357" s="1"/>
  <c r="K356"/>
  <c r="H356"/>
  <c r="E356"/>
  <c r="K355"/>
  <c r="H355"/>
  <c r="E355"/>
  <c r="K354"/>
  <c r="H354"/>
  <c r="E354"/>
  <c r="I353"/>
  <c r="H353" s="1"/>
  <c r="K293"/>
  <c r="G293"/>
  <c r="H293" s="1"/>
  <c r="D293"/>
  <c r="E293" s="1"/>
  <c r="F292"/>
  <c r="K291"/>
  <c r="H291"/>
  <c r="E291"/>
  <c r="K290"/>
  <c r="H290"/>
  <c r="E290"/>
  <c r="G289"/>
  <c r="H289" s="1"/>
  <c r="F289"/>
  <c r="D289"/>
  <c r="K270"/>
  <c r="H270"/>
  <c r="E270"/>
  <c r="J269"/>
  <c r="J268" s="1"/>
  <c r="I269"/>
  <c r="G269"/>
  <c r="G265" s="1"/>
  <c r="F269"/>
  <c r="F268" s="1"/>
  <c r="N5"/>
  <c r="M5"/>
  <c r="L5"/>
  <c r="L3" s="1"/>
  <c r="J889" i="42"/>
  <c r="I889"/>
  <c r="F889"/>
  <c r="E821"/>
  <c r="E812"/>
  <c r="F811"/>
  <c r="E811" s="1"/>
  <c r="E105"/>
  <c r="D104"/>
  <c r="E104" s="1"/>
  <c r="F103"/>
  <c r="E103" s="1"/>
  <c r="E313"/>
  <c r="E312"/>
  <c r="D311"/>
  <c r="E311" s="1"/>
  <c r="E309"/>
  <c r="D308"/>
  <c r="E308" s="1"/>
  <c r="E307"/>
  <c r="E306"/>
  <c r="D305"/>
  <c r="E305" s="1"/>
  <c r="E437"/>
  <c r="F436"/>
  <c r="E436" s="1"/>
  <c r="D433"/>
  <c r="D431" s="1"/>
  <c r="F456"/>
  <c r="E456" s="1"/>
  <c r="D454"/>
  <c r="E454" s="1"/>
  <c r="F453"/>
  <c r="E450"/>
  <c r="D449"/>
  <c r="E449" s="1"/>
  <c r="E448"/>
  <c r="F447"/>
  <c r="D447"/>
  <c r="E439"/>
  <c r="D438"/>
  <c r="E438" s="1"/>
  <c r="E435"/>
  <c r="F434"/>
  <c r="E434" s="1"/>
  <c r="E810"/>
  <c r="E809"/>
  <c r="D808"/>
  <c r="E808" s="1"/>
  <c r="E417"/>
  <c r="D416"/>
  <c r="E416" s="1"/>
  <c r="E415"/>
  <c r="D413"/>
  <c r="E413" s="1"/>
  <c r="D412"/>
  <c r="E412" s="1"/>
  <c r="G873"/>
  <c r="G872" s="1"/>
  <c r="G871" s="1"/>
  <c r="G870" s="1"/>
  <c r="E410"/>
  <c r="J878"/>
  <c r="J874" s="1"/>
  <c r="J873" s="1"/>
  <c r="J872" s="1"/>
  <c r="J871" s="1"/>
  <c r="J870" s="1"/>
  <c r="J869" s="1"/>
  <c r="J868" s="1"/>
  <c r="F409"/>
  <c r="E409" s="1"/>
  <c r="E408"/>
  <c r="E407"/>
  <c r="E406"/>
  <c r="I874"/>
  <c r="I873" s="1"/>
  <c r="I872" s="1"/>
  <c r="I871" s="1"/>
  <c r="I870" s="1"/>
  <c r="I869" s="1"/>
  <c r="I868" s="1"/>
  <c r="E343"/>
  <c r="G866"/>
  <c r="G865" s="1"/>
  <c r="G864" s="1"/>
  <c r="G863" s="1"/>
  <c r="D342"/>
  <c r="E342" s="1"/>
  <c r="D338"/>
  <c r="E338" s="1"/>
  <c r="G862"/>
  <c r="G861" s="1"/>
  <c r="E67"/>
  <c r="J859"/>
  <c r="I859"/>
  <c r="G859"/>
  <c r="G854" s="1"/>
  <c r="G853" s="1"/>
  <c r="G852" s="1"/>
  <c r="D66"/>
  <c r="E62"/>
  <c r="J857"/>
  <c r="J856" s="1"/>
  <c r="J854" s="1"/>
  <c r="J853" s="1"/>
  <c r="J852" s="1"/>
  <c r="I857"/>
  <c r="I856" s="1"/>
  <c r="I854" s="1"/>
  <c r="I853" s="1"/>
  <c r="I852" s="1"/>
  <c r="F61"/>
  <c r="F60" s="1"/>
  <c r="E60" s="1"/>
  <c r="E63"/>
  <c r="E807"/>
  <c r="E806"/>
  <c r="J849"/>
  <c r="J848" s="1"/>
  <c r="J847" s="1"/>
  <c r="J846" s="1"/>
  <c r="I849"/>
  <c r="G849"/>
  <c r="G848" s="1"/>
  <c r="G847" s="1"/>
  <c r="G846" s="1"/>
  <c r="F805"/>
  <c r="F738" s="1"/>
  <c r="F715" s="1"/>
  <c r="D805"/>
  <c r="I848"/>
  <c r="I847" s="1"/>
  <c r="I846" s="1"/>
  <c r="G845"/>
  <c r="D93"/>
  <c r="E93" s="1"/>
  <c r="J844"/>
  <c r="I844"/>
  <c r="G844"/>
  <c r="F92"/>
  <c r="E91"/>
  <c r="J842"/>
  <c r="I842"/>
  <c r="F90"/>
  <c r="E90" s="1"/>
  <c r="G841"/>
  <c r="D89"/>
  <c r="E88"/>
  <c r="G839"/>
  <c r="D87"/>
  <c r="E87" s="1"/>
  <c r="E86"/>
  <c r="G837"/>
  <c r="D85"/>
  <c r="E85" s="1"/>
  <c r="G836"/>
  <c r="D84"/>
  <c r="E84" s="1"/>
  <c r="E83"/>
  <c r="G833"/>
  <c r="D81"/>
  <c r="E81" s="1"/>
  <c r="G832"/>
  <c r="D80"/>
  <c r="E80" s="1"/>
  <c r="E78"/>
  <c r="J829"/>
  <c r="I829"/>
  <c r="F77"/>
  <c r="E77" s="1"/>
  <c r="E76"/>
  <c r="J827"/>
  <c r="F75"/>
  <c r="E75" s="1"/>
  <c r="J826"/>
  <c r="I826"/>
  <c r="F74"/>
  <c r="E74" s="1"/>
  <c r="E73"/>
  <c r="J824"/>
  <c r="I824"/>
  <c r="S817" s="1"/>
  <c r="F72"/>
  <c r="E72" s="1"/>
  <c r="N816"/>
  <c r="M816"/>
  <c r="L816"/>
  <c r="F553"/>
  <c r="E553" s="1"/>
  <c r="J815"/>
  <c r="I815"/>
  <c r="G815"/>
  <c r="F552"/>
  <c r="D552"/>
  <c r="E558"/>
  <c r="G813"/>
  <c r="D557"/>
  <c r="E557" s="1"/>
  <c r="E556"/>
  <c r="G811"/>
  <c r="D555"/>
  <c r="E555" s="1"/>
  <c r="E544"/>
  <c r="J808"/>
  <c r="J807" s="1"/>
  <c r="I808"/>
  <c r="I807" s="1"/>
  <c r="I806" s="1"/>
  <c r="F543"/>
  <c r="E543" s="1"/>
  <c r="N805"/>
  <c r="M805"/>
  <c r="L805"/>
  <c r="F538"/>
  <c r="F537" s="1"/>
  <c r="D538"/>
  <c r="D537" s="1"/>
  <c r="J804"/>
  <c r="J803" s="1"/>
  <c r="I804"/>
  <c r="I803" s="1"/>
  <c r="G804"/>
  <c r="G803" s="1"/>
  <c r="E804"/>
  <c r="E803"/>
  <c r="J797"/>
  <c r="J796" s="1"/>
  <c r="J795" s="1"/>
  <c r="J794" s="1"/>
  <c r="I797"/>
  <c r="G797"/>
  <c r="G796" s="1"/>
  <c r="G795" s="1"/>
  <c r="G794" s="1"/>
  <c r="F802"/>
  <c r="D802"/>
  <c r="I796"/>
  <c r="I795" s="1"/>
  <c r="I794" s="1"/>
  <c r="E536"/>
  <c r="G792"/>
  <c r="D535"/>
  <c r="E535" s="1"/>
  <c r="E534"/>
  <c r="E533"/>
  <c r="G789"/>
  <c r="G787" s="1"/>
  <c r="D532"/>
  <c r="E532" s="1"/>
  <c r="E531"/>
  <c r="G786"/>
  <c r="D529"/>
  <c r="E529" s="1"/>
  <c r="G785"/>
  <c r="D528"/>
  <c r="E528" s="1"/>
  <c r="G784"/>
  <c r="D527"/>
  <c r="E527" s="1"/>
  <c r="E526"/>
  <c r="J782"/>
  <c r="I782"/>
  <c r="F525"/>
  <c r="E525" s="1"/>
  <c r="E524"/>
  <c r="J780"/>
  <c r="F523"/>
  <c r="E523" s="1"/>
  <c r="J779"/>
  <c r="I779"/>
  <c r="F522"/>
  <c r="E522" s="1"/>
  <c r="E521"/>
  <c r="J777"/>
  <c r="J776" s="1"/>
  <c r="J775" s="1"/>
  <c r="J774" s="1"/>
  <c r="I777"/>
  <c r="S770" s="1"/>
  <c r="F520"/>
  <c r="E520" s="1"/>
  <c r="I776"/>
  <c r="I775"/>
  <c r="I774" s="1"/>
  <c r="E801"/>
  <c r="E800"/>
  <c r="E799"/>
  <c r="E798"/>
  <c r="G765"/>
  <c r="G764" s="1"/>
  <c r="G763" s="1"/>
  <c r="G762" s="1"/>
  <c r="D797"/>
  <c r="E797" s="1"/>
  <c r="E874"/>
  <c r="G760"/>
  <c r="D873"/>
  <c r="E873" s="1"/>
  <c r="G759"/>
  <c r="D872"/>
  <c r="E872" s="1"/>
  <c r="D871"/>
  <c r="E871" s="1"/>
  <c r="E796"/>
  <c r="E795"/>
  <c r="J754"/>
  <c r="J753" s="1"/>
  <c r="J752" s="1"/>
  <c r="J751" s="1"/>
  <c r="I754"/>
  <c r="I753" s="1"/>
  <c r="I752" s="1"/>
  <c r="I751" s="1"/>
  <c r="F794"/>
  <c r="E794" s="1"/>
  <c r="E546"/>
  <c r="J749"/>
  <c r="J748" s="1"/>
  <c r="J747" s="1"/>
  <c r="J746" s="1"/>
  <c r="I749"/>
  <c r="I748" s="1"/>
  <c r="I747" s="1"/>
  <c r="I746" s="1"/>
  <c r="G749"/>
  <c r="G748" s="1"/>
  <c r="G747" s="1"/>
  <c r="G746" s="1"/>
  <c r="F545"/>
  <c r="D545"/>
  <c r="D540" s="1"/>
  <c r="J745"/>
  <c r="J741" s="1"/>
  <c r="J740" s="1"/>
  <c r="J739" s="1"/>
  <c r="J738" s="1"/>
  <c r="I745"/>
  <c r="G745"/>
  <c r="G741" s="1"/>
  <c r="G740" s="1"/>
  <c r="G739" s="1"/>
  <c r="G738" s="1"/>
  <c r="F398"/>
  <c r="D398"/>
  <c r="D394" s="1"/>
  <c r="E397"/>
  <c r="E396"/>
  <c r="E395"/>
  <c r="I741"/>
  <c r="I740" s="1"/>
  <c r="I739" s="1"/>
  <c r="I738" s="1"/>
  <c r="E99"/>
  <c r="J736"/>
  <c r="J735" s="1"/>
  <c r="I736"/>
  <c r="F98"/>
  <c r="E98" s="1"/>
  <c r="I735"/>
  <c r="E65"/>
  <c r="J733"/>
  <c r="J732" s="1"/>
  <c r="J731" s="1"/>
  <c r="I733"/>
  <c r="I732" s="1"/>
  <c r="I731" s="1"/>
  <c r="G733"/>
  <c r="F64"/>
  <c r="D64"/>
  <c r="G732"/>
  <c r="G731" s="1"/>
  <c r="G730" s="1"/>
  <c r="E135"/>
  <c r="G728"/>
  <c r="G726" s="1"/>
  <c r="D134"/>
  <c r="E134" s="1"/>
  <c r="E133"/>
  <c r="G725"/>
  <c r="D131"/>
  <c r="E131" s="1"/>
  <c r="G724"/>
  <c r="D130"/>
  <c r="E130" s="1"/>
  <c r="G723"/>
  <c r="E53"/>
  <c r="J719"/>
  <c r="F52"/>
  <c r="E52" s="1"/>
  <c r="J718"/>
  <c r="I718"/>
  <c r="F51"/>
  <c r="E51" s="1"/>
  <c r="E50"/>
  <c r="J716"/>
  <c r="I716"/>
  <c r="F49"/>
  <c r="E49" s="1"/>
  <c r="I715"/>
  <c r="I714" s="1"/>
  <c r="I713" s="1"/>
  <c r="E126"/>
  <c r="E125"/>
  <c r="G710"/>
  <c r="D124"/>
  <c r="E124" s="1"/>
  <c r="G709"/>
  <c r="D123"/>
  <c r="E123" s="1"/>
  <c r="E122"/>
  <c r="G706"/>
  <c r="D120"/>
  <c r="E120" s="1"/>
  <c r="G705"/>
  <c r="D119"/>
  <c r="E119" s="1"/>
  <c r="E45"/>
  <c r="E44"/>
  <c r="E43"/>
  <c r="J697"/>
  <c r="J696" s="1"/>
  <c r="I697"/>
  <c r="I696" s="1"/>
  <c r="F42"/>
  <c r="E42" s="1"/>
  <c r="E753"/>
  <c r="G691"/>
  <c r="D752"/>
  <c r="E752" s="1"/>
  <c r="J690"/>
  <c r="J689" s="1"/>
  <c r="J688" s="1"/>
  <c r="J687" s="1"/>
  <c r="J686" s="1"/>
  <c r="J685" s="1"/>
  <c r="J684" s="1"/>
  <c r="F743"/>
  <c r="E743" s="1"/>
  <c r="I689"/>
  <c r="I688"/>
  <c r="I687" s="1"/>
  <c r="I686" s="1"/>
  <c r="I685" s="1"/>
  <c r="I684" s="1"/>
  <c r="G687"/>
  <c r="G686" s="1"/>
  <c r="G685" s="1"/>
  <c r="G684" s="1"/>
  <c r="E758"/>
  <c r="J682"/>
  <c r="J681" s="1"/>
  <c r="J680" s="1"/>
  <c r="J679" s="1"/>
  <c r="J678" s="1"/>
  <c r="I682"/>
  <c r="I681" s="1"/>
  <c r="I680" s="1"/>
  <c r="I679" s="1"/>
  <c r="I678" s="1"/>
  <c r="G682"/>
  <c r="G681" s="1"/>
  <c r="G680" s="1"/>
  <c r="G679" s="1"/>
  <c r="F757"/>
  <c r="D757"/>
  <c r="E870"/>
  <c r="G676"/>
  <c r="D869"/>
  <c r="E869" s="1"/>
  <c r="E868"/>
  <c r="E867"/>
  <c r="G673"/>
  <c r="G672" s="1"/>
  <c r="D866"/>
  <c r="E866" s="1"/>
  <c r="E824"/>
  <c r="F793"/>
  <c r="E793" s="1"/>
  <c r="F792"/>
  <c r="E792" s="1"/>
  <c r="J668"/>
  <c r="J667" s="1"/>
  <c r="J666" s="1"/>
  <c r="J665" s="1"/>
  <c r="I668"/>
  <c r="I667" s="1"/>
  <c r="I666" s="1"/>
  <c r="I665" s="1"/>
  <c r="F791"/>
  <c r="E791" s="1"/>
  <c r="G664"/>
  <c r="D551"/>
  <c r="E551" s="1"/>
  <c r="E550"/>
  <c r="E549"/>
  <c r="E548"/>
  <c r="J660"/>
  <c r="J659" s="1"/>
  <c r="J658" s="1"/>
  <c r="J657" s="1"/>
  <c r="I660"/>
  <c r="I659" s="1"/>
  <c r="I658" s="1"/>
  <c r="I657" s="1"/>
  <c r="G660"/>
  <c r="G659" s="1"/>
  <c r="G658" s="1"/>
  <c r="G657" s="1"/>
  <c r="F547"/>
  <c r="D547"/>
  <c r="D539" s="1"/>
  <c r="E446"/>
  <c r="J655"/>
  <c r="I655"/>
  <c r="I654" s="1"/>
  <c r="I653" s="1"/>
  <c r="I652" s="1"/>
  <c r="G655"/>
  <c r="F445"/>
  <c r="F444" s="1"/>
  <c r="D445"/>
  <c r="J654"/>
  <c r="J653" s="1"/>
  <c r="J652" s="1"/>
  <c r="G654"/>
  <c r="G653" s="1"/>
  <c r="G652" s="1"/>
  <c r="E115"/>
  <c r="E114"/>
  <c r="G649"/>
  <c r="D113"/>
  <c r="E113" s="1"/>
  <c r="E112"/>
  <c r="E111"/>
  <c r="G646"/>
  <c r="G645" s="1"/>
  <c r="G644" s="1"/>
  <c r="G643" s="1"/>
  <c r="G627" s="1"/>
  <c r="D110"/>
  <c r="E110" s="1"/>
  <c r="E41"/>
  <c r="D40"/>
  <c r="E40" s="1"/>
  <c r="E39"/>
  <c r="E38"/>
  <c r="J638"/>
  <c r="I638"/>
  <c r="F37"/>
  <c r="J637"/>
  <c r="I637"/>
  <c r="S612" s="1"/>
  <c r="F36"/>
  <c r="E36" s="1"/>
  <c r="E35"/>
  <c r="E34"/>
  <c r="J634"/>
  <c r="F33"/>
  <c r="E33" s="1"/>
  <c r="J633"/>
  <c r="I633"/>
  <c r="F32"/>
  <c r="E32" s="1"/>
  <c r="E31"/>
  <c r="J631"/>
  <c r="I631"/>
  <c r="F30"/>
  <c r="E30" s="1"/>
  <c r="E878"/>
  <c r="E877"/>
  <c r="E876"/>
  <c r="G622"/>
  <c r="G621" s="1"/>
  <c r="D875"/>
  <c r="E875" s="1"/>
  <c r="E842"/>
  <c r="E841"/>
  <c r="E840"/>
  <c r="J617"/>
  <c r="J616" s="1"/>
  <c r="J615" s="1"/>
  <c r="J614" s="1"/>
  <c r="J613" s="1"/>
  <c r="I617"/>
  <c r="I616" s="1"/>
  <c r="I615" s="1"/>
  <c r="I614" s="1"/>
  <c r="I613" s="1"/>
  <c r="F839"/>
  <c r="E839" s="1"/>
  <c r="G614"/>
  <c r="G613" s="1"/>
  <c r="D823"/>
  <c r="E857"/>
  <c r="E856"/>
  <c r="E855"/>
  <c r="G607"/>
  <c r="D854"/>
  <c r="E854" s="1"/>
  <c r="E853"/>
  <c r="E852"/>
  <c r="G604"/>
  <c r="D851"/>
  <c r="E851" s="1"/>
  <c r="E850"/>
  <c r="E849"/>
  <c r="G601"/>
  <c r="D848"/>
  <c r="E848" s="1"/>
  <c r="E865"/>
  <c r="E864"/>
  <c r="E863"/>
  <c r="G596"/>
  <c r="D862"/>
  <c r="E862" s="1"/>
  <c r="E861"/>
  <c r="E860"/>
  <c r="E859"/>
  <c r="G592"/>
  <c r="D858"/>
  <c r="E858" s="1"/>
  <c r="E790"/>
  <c r="E789"/>
  <c r="J588"/>
  <c r="J587" s="1"/>
  <c r="J586" s="1"/>
  <c r="J585" s="1"/>
  <c r="I588"/>
  <c r="I587" s="1"/>
  <c r="I586" s="1"/>
  <c r="I585" s="1"/>
  <c r="F788"/>
  <c r="E788" s="1"/>
  <c r="E836"/>
  <c r="E835"/>
  <c r="E834"/>
  <c r="J581"/>
  <c r="J580" s="1"/>
  <c r="J579" s="1"/>
  <c r="I581"/>
  <c r="I580" s="1"/>
  <c r="I579" s="1"/>
  <c r="F833"/>
  <c r="E833" s="1"/>
  <c r="E830"/>
  <c r="E829"/>
  <c r="E828"/>
  <c r="J575"/>
  <c r="J574" s="1"/>
  <c r="J573" s="1"/>
  <c r="I575"/>
  <c r="I574" s="1"/>
  <c r="I573" s="1"/>
  <c r="F827"/>
  <c r="E827" s="1"/>
  <c r="E28"/>
  <c r="J570"/>
  <c r="F27"/>
  <c r="E27" s="1"/>
  <c r="J569"/>
  <c r="I569"/>
  <c r="F26"/>
  <c r="E26" s="1"/>
  <c r="J568"/>
  <c r="I568"/>
  <c r="I566" s="1"/>
  <c r="I565" s="1"/>
  <c r="I564" s="1"/>
  <c r="I563" s="1"/>
  <c r="F25"/>
  <c r="E25" s="1"/>
  <c r="J567"/>
  <c r="I567"/>
  <c r="F24"/>
  <c r="E24" s="1"/>
  <c r="D424"/>
  <c r="E424" s="1"/>
  <c r="G558"/>
  <c r="G557" s="1"/>
  <c r="G553" s="1"/>
  <c r="N556"/>
  <c r="M556"/>
  <c r="L556"/>
  <c r="F421"/>
  <c r="J555"/>
  <c r="J554" s="1"/>
  <c r="J553" s="1"/>
  <c r="J552" s="1"/>
  <c r="J551" s="1"/>
  <c r="J550" s="1"/>
  <c r="J549" s="1"/>
  <c r="I555"/>
  <c r="I554" s="1"/>
  <c r="I553" s="1"/>
  <c r="I552" s="1"/>
  <c r="I551" s="1"/>
  <c r="I550" s="1"/>
  <c r="I549" s="1"/>
  <c r="E350"/>
  <c r="J547"/>
  <c r="J546" s="1"/>
  <c r="I547"/>
  <c r="I546" s="1"/>
  <c r="I545" s="1"/>
  <c r="I544" s="1"/>
  <c r="F349"/>
  <c r="J545"/>
  <c r="J544" s="1"/>
  <c r="E787"/>
  <c r="E786"/>
  <c r="J541"/>
  <c r="J540" s="1"/>
  <c r="J539" s="1"/>
  <c r="J538" s="1"/>
  <c r="I541"/>
  <c r="G541"/>
  <c r="G540" s="1"/>
  <c r="G539" s="1"/>
  <c r="G538" s="1"/>
  <c r="F785"/>
  <c r="D785"/>
  <c r="D730" s="1"/>
  <c r="I540"/>
  <c r="I539" s="1"/>
  <c r="I538" s="1"/>
  <c r="E618"/>
  <c r="G535"/>
  <c r="D616"/>
  <c r="E616" s="1"/>
  <c r="E615"/>
  <c r="G533"/>
  <c r="D614"/>
  <c r="E614" s="1"/>
  <c r="E613"/>
  <c r="E612"/>
  <c r="G530"/>
  <c r="D611"/>
  <c r="E611" s="1"/>
  <c r="G529"/>
  <c r="D610"/>
  <c r="E610" s="1"/>
  <c r="E609"/>
  <c r="G526"/>
  <c r="D607"/>
  <c r="E607" s="1"/>
  <c r="G525"/>
  <c r="G524" s="1"/>
  <c r="D606"/>
  <c r="E606" s="1"/>
  <c r="D605"/>
  <c r="J523"/>
  <c r="J522" s="1"/>
  <c r="I523"/>
  <c r="F604"/>
  <c r="E604" s="1"/>
  <c r="I522"/>
  <c r="E602"/>
  <c r="J520"/>
  <c r="I520"/>
  <c r="F601"/>
  <c r="E601" s="1"/>
  <c r="J519"/>
  <c r="F600"/>
  <c r="J518"/>
  <c r="I518"/>
  <c r="F599"/>
  <c r="E599" s="1"/>
  <c r="E598"/>
  <c r="J516"/>
  <c r="I516"/>
  <c r="I515" s="1"/>
  <c r="I514" s="1"/>
  <c r="I513" s="1"/>
  <c r="I512" s="1"/>
  <c r="I511" s="1"/>
  <c r="I510" s="1"/>
  <c r="F597"/>
  <c r="E597" s="1"/>
  <c r="N509"/>
  <c r="M509"/>
  <c r="L509"/>
  <c r="F652"/>
  <c r="E652" s="1"/>
  <c r="J508"/>
  <c r="I508"/>
  <c r="I507" s="1"/>
  <c r="I506" s="1"/>
  <c r="I505" s="1"/>
  <c r="I504" s="1"/>
  <c r="J507"/>
  <c r="J506" s="1"/>
  <c r="J505" s="1"/>
  <c r="J504" s="1"/>
  <c r="E622"/>
  <c r="J502"/>
  <c r="I502"/>
  <c r="G502"/>
  <c r="F621"/>
  <c r="D621"/>
  <c r="E620"/>
  <c r="J500"/>
  <c r="I500"/>
  <c r="G500"/>
  <c r="F619"/>
  <c r="D619"/>
  <c r="E626"/>
  <c r="G498"/>
  <c r="D625"/>
  <c r="E625" s="1"/>
  <c r="N497"/>
  <c r="M497"/>
  <c r="L497"/>
  <c r="J497"/>
  <c r="J496" s="1"/>
  <c r="J495" s="1"/>
  <c r="J494" s="1"/>
  <c r="J493" s="1"/>
  <c r="J492" s="1"/>
  <c r="I497"/>
  <c r="I496" s="1"/>
  <c r="G497"/>
  <c r="G496" s="1"/>
  <c r="F624"/>
  <c r="D624"/>
  <c r="D623" s="1"/>
  <c r="E784"/>
  <c r="E783"/>
  <c r="E782"/>
  <c r="E781"/>
  <c r="E780"/>
  <c r="J485"/>
  <c r="J484" s="1"/>
  <c r="J483" s="1"/>
  <c r="J482" s="1"/>
  <c r="I485"/>
  <c r="G485"/>
  <c r="G484" s="1"/>
  <c r="G483" s="1"/>
  <c r="G482" s="1"/>
  <c r="F779"/>
  <c r="P770" s="1"/>
  <c r="D779"/>
  <c r="D729" s="1"/>
  <c r="I484"/>
  <c r="I483" s="1"/>
  <c r="I482" s="1"/>
  <c r="E650"/>
  <c r="G480"/>
  <c r="D649"/>
  <c r="E649" s="1"/>
  <c r="G479"/>
  <c r="D648"/>
  <c r="E648" s="1"/>
  <c r="E647"/>
  <c r="E646"/>
  <c r="G476"/>
  <c r="G474" s="1"/>
  <c r="D645"/>
  <c r="E645" s="1"/>
  <c r="E644"/>
  <c r="G473"/>
  <c r="D642"/>
  <c r="E642" s="1"/>
  <c r="G472"/>
  <c r="D641"/>
  <c r="E639"/>
  <c r="J469"/>
  <c r="I469"/>
  <c r="F638"/>
  <c r="E638" s="1"/>
  <c r="J468"/>
  <c r="I468"/>
  <c r="F637"/>
  <c r="E637" s="1"/>
  <c r="E636"/>
  <c r="E635"/>
  <c r="J465"/>
  <c r="F634"/>
  <c r="E634" s="1"/>
  <c r="J464"/>
  <c r="I464"/>
  <c r="F633"/>
  <c r="E633" s="1"/>
  <c r="E632"/>
  <c r="J462"/>
  <c r="I462"/>
  <c r="F631"/>
  <c r="E631" s="1"/>
  <c r="E662"/>
  <c r="G456"/>
  <c r="G454" s="1"/>
  <c r="D661"/>
  <c r="E661" s="1"/>
  <c r="E660"/>
  <c r="D659"/>
  <c r="E659" s="1"/>
  <c r="G453"/>
  <c r="D658"/>
  <c r="E658" s="1"/>
  <c r="G452"/>
  <c r="G451" s="1"/>
  <c r="D657"/>
  <c r="E657" s="1"/>
  <c r="E511"/>
  <c r="J447"/>
  <c r="F510"/>
  <c r="E510" s="1"/>
  <c r="E509"/>
  <c r="E508"/>
  <c r="J444"/>
  <c r="I444"/>
  <c r="F507"/>
  <c r="I443"/>
  <c r="I442" s="1"/>
  <c r="I441" s="1"/>
  <c r="G437"/>
  <c r="D592"/>
  <c r="E592" s="1"/>
  <c r="G436"/>
  <c r="D591"/>
  <c r="E591" s="1"/>
  <c r="J435"/>
  <c r="J434" s="1"/>
  <c r="J433" s="1"/>
  <c r="J432" s="1"/>
  <c r="J431" s="1"/>
  <c r="I435"/>
  <c r="I434" s="1"/>
  <c r="I433" s="1"/>
  <c r="I432" s="1"/>
  <c r="I431" s="1"/>
  <c r="F590"/>
  <c r="E778"/>
  <c r="E777"/>
  <c r="J428"/>
  <c r="J427" s="1"/>
  <c r="J426" s="1"/>
  <c r="J425" s="1"/>
  <c r="I428"/>
  <c r="I427" s="1"/>
  <c r="I426" s="1"/>
  <c r="I425" s="1"/>
  <c r="G428"/>
  <c r="G427" s="1"/>
  <c r="G426" s="1"/>
  <c r="G425" s="1"/>
  <c r="F776"/>
  <c r="D776"/>
  <c r="D728"/>
  <c r="G424"/>
  <c r="G423" s="1"/>
  <c r="D589"/>
  <c r="E589" s="1"/>
  <c r="G422"/>
  <c r="D587"/>
  <c r="E587" s="1"/>
  <c r="E586"/>
  <c r="G420"/>
  <c r="D585"/>
  <c r="E585" s="1"/>
  <c r="E584"/>
  <c r="G418"/>
  <c r="G416" s="1"/>
  <c r="D583"/>
  <c r="E583" s="1"/>
  <c r="E582"/>
  <c r="G415"/>
  <c r="D580"/>
  <c r="E580" s="1"/>
  <c r="G414"/>
  <c r="D579"/>
  <c r="E579" s="1"/>
  <c r="G413"/>
  <c r="D578"/>
  <c r="E578" s="1"/>
  <c r="E577"/>
  <c r="J411"/>
  <c r="I411"/>
  <c r="F576"/>
  <c r="E576" s="1"/>
  <c r="E575"/>
  <c r="E574"/>
  <c r="E573"/>
  <c r="J407"/>
  <c r="F572"/>
  <c r="E572" s="1"/>
  <c r="J406"/>
  <c r="I406"/>
  <c r="F571"/>
  <c r="E571" s="1"/>
  <c r="E570"/>
  <c r="J404"/>
  <c r="I404"/>
  <c r="I403" s="1"/>
  <c r="I402" s="1"/>
  <c r="I401" s="1"/>
  <c r="I400" s="1"/>
  <c r="I399" s="1"/>
  <c r="F569"/>
  <c r="E95"/>
  <c r="J396"/>
  <c r="J395" s="1"/>
  <c r="J394" s="1"/>
  <c r="J393" s="1"/>
  <c r="J392" s="1"/>
  <c r="I396"/>
  <c r="I395" s="1"/>
  <c r="I394" s="1"/>
  <c r="I393" s="1"/>
  <c r="I392" s="1"/>
  <c r="G396"/>
  <c r="G395" s="1"/>
  <c r="F94"/>
  <c r="D94"/>
  <c r="S390"/>
  <c r="J389"/>
  <c r="F749"/>
  <c r="E749" s="1"/>
  <c r="J388"/>
  <c r="I388"/>
  <c r="G388"/>
  <c r="G386" s="1"/>
  <c r="G385" s="1"/>
  <c r="G384" s="1"/>
  <c r="D748"/>
  <c r="D727" s="1"/>
  <c r="J387"/>
  <c r="J386" s="1"/>
  <c r="J385" s="1"/>
  <c r="J384" s="1"/>
  <c r="J383" s="1"/>
  <c r="I387"/>
  <c r="I386" s="1"/>
  <c r="I385" s="1"/>
  <c r="I384" s="1"/>
  <c r="I383" s="1"/>
  <c r="G383"/>
  <c r="E756"/>
  <c r="J381"/>
  <c r="I381"/>
  <c r="G381"/>
  <c r="F755"/>
  <c r="D755"/>
  <c r="E754"/>
  <c r="J379"/>
  <c r="J378" s="1"/>
  <c r="I379"/>
  <c r="I378" s="1"/>
  <c r="G379"/>
  <c r="G377" s="1"/>
  <c r="G376" s="1"/>
  <c r="G375" s="1"/>
  <c r="D747"/>
  <c r="E751"/>
  <c r="J370"/>
  <c r="J369" s="1"/>
  <c r="J368" s="1"/>
  <c r="J367" s="1"/>
  <c r="J366" s="1"/>
  <c r="J365" s="1"/>
  <c r="J364" s="1"/>
  <c r="I370"/>
  <c r="I369" s="1"/>
  <c r="I368" s="1"/>
  <c r="I367" s="1"/>
  <c r="I366" s="1"/>
  <c r="I365" s="1"/>
  <c r="I364" s="1"/>
  <c r="G370"/>
  <c r="G368" s="1"/>
  <c r="F750"/>
  <c r="D750"/>
  <c r="D725"/>
  <c r="J363"/>
  <c r="F720"/>
  <c r="J362"/>
  <c r="J361" s="1"/>
  <c r="J360" s="1"/>
  <c r="J359" s="1"/>
  <c r="J358" s="1"/>
  <c r="I362"/>
  <c r="I361" s="1"/>
  <c r="I360" s="1"/>
  <c r="I359" s="1"/>
  <c r="I358" s="1"/>
  <c r="E820"/>
  <c r="G356"/>
  <c r="G354" s="1"/>
  <c r="D819"/>
  <c r="E819" s="1"/>
  <c r="E818"/>
  <c r="E816"/>
  <c r="E815"/>
  <c r="G351"/>
  <c r="D814"/>
  <c r="E775"/>
  <c r="E774"/>
  <c r="J348"/>
  <c r="I348"/>
  <c r="F773"/>
  <c r="E773" s="1"/>
  <c r="E692"/>
  <c r="J346"/>
  <c r="F691"/>
  <c r="J345"/>
  <c r="I345"/>
  <c r="F690"/>
  <c r="E690" s="1"/>
  <c r="E689"/>
  <c r="J343"/>
  <c r="J342" s="1"/>
  <c r="J341" s="1"/>
  <c r="J340" s="1"/>
  <c r="J337" s="1"/>
  <c r="J336" s="1"/>
  <c r="I343"/>
  <c r="S334" s="1"/>
  <c r="F688"/>
  <c r="E688" s="1"/>
  <c r="E700"/>
  <c r="E341"/>
  <c r="J332"/>
  <c r="J331" s="1"/>
  <c r="J330" s="1"/>
  <c r="J329" s="1"/>
  <c r="J328" s="1"/>
  <c r="J327" s="1"/>
  <c r="J326" s="1"/>
  <c r="I332"/>
  <c r="F340"/>
  <c r="E340" s="1"/>
  <c r="I331"/>
  <c r="I330" s="1"/>
  <c r="I329" s="1"/>
  <c r="I328" s="1"/>
  <c r="I327" s="1"/>
  <c r="I326" s="1"/>
  <c r="E441"/>
  <c r="J324"/>
  <c r="J323" s="1"/>
  <c r="J322" s="1"/>
  <c r="J321" s="1"/>
  <c r="J320" s="1"/>
  <c r="I324"/>
  <c r="I323" s="1"/>
  <c r="I322" s="1"/>
  <c r="I321" s="1"/>
  <c r="I320" s="1"/>
  <c r="G324"/>
  <c r="G323" s="1"/>
  <c r="G322" s="1"/>
  <c r="G321" s="1"/>
  <c r="F440"/>
  <c r="D440"/>
  <c r="N319"/>
  <c r="M319"/>
  <c r="L319"/>
  <c r="J319"/>
  <c r="J318" s="1"/>
  <c r="J317" s="1"/>
  <c r="J316" s="1"/>
  <c r="J315" s="1"/>
  <c r="J314" s="1"/>
  <c r="I319"/>
  <c r="G319"/>
  <c r="G318" s="1"/>
  <c r="G314" s="1"/>
  <c r="F452"/>
  <c r="D452"/>
  <c r="D451" s="1"/>
  <c r="I318"/>
  <c r="I317" s="1"/>
  <c r="I316" s="1"/>
  <c r="I315" s="1"/>
  <c r="I314" s="1"/>
  <c r="F451"/>
  <c r="E695"/>
  <c r="E694"/>
  <c r="J310"/>
  <c r="I310"/>
  <c r="F693"/>
  <c r="E693" s="1"/>
  <c r="E772"/>
  <c r="E771"/>
  <c r="E770"/>
  <c r="E769"/>
  <c r="J305"/>
  <c r="J304" s="1"/>
  <c r="J303" s="1"/>
  <c r="I305"/>
  <c r="G305"/>
  <c r="G304" s="1"/>
  <c r="G303" s="1"/>
  <c r="G302" s="1"/>
  <c r="F768"/>
  <c r="D768"/>
  <c r="I304"/>
  <c r="I303" s="1"/>
  <c r="E493"/>
  <c r="G300"/>
  <c r="D492"/>
  <c r="E492" s="1"/>
  <c r="E491"/>
  <c r="G298"/>
  <c r="D490"/>
  <c r="E490" s="1"/>
  <c r="E489"/>
  <c r="G296"/>
  <c r="G294" s="1"/>
  <c r="D488"/>
  <c r="E487"/>
  <c r="G293"/>
  <c r="D485"/>
  <c r="E485" s="1"/>
  <c r="G292"/>
  <c r="G291" s="1"/>
  <c r="D484"/>
  <c r="E484" s="1"/>
  <c r="D483"/>
  <c r="E483" s="1"/>
  <c r="E185"/>
  <c r="E184"/>
  <c r="J287"/>
  <c r="I287"/>
  <c r="G287"/>
  <c r="F183"/>
  <c r="D183"/>
  <c r="E182"/>
  <c r="J285"/>
  <c r="I285"/>
  <c r="F181"/>
  <c r="E181" s="1"/>
  <c r="E180"/>
  <c r="J283"/>
  <c r="F179"/>
  <c r="E179" s="1"/>
  <c r="J282"/>
  <c r="I282"/>
  <c r="F178"/>
  <c r="E178" s="1"/>
  <c r="E177"/>
  <c r="J280"/>
  <c r="I280"/>
  <c r="I279" s="1"/>
  <c r="I278" s="1"/>
  <c r="I277" s="1"/>
  <c r="F176"/>
  <c r="E176" s="1"/>
  <c r="E481"/>
  <c r="E480"/>
  <c r="G274"/>
  <c r="G272" s="1"/>
  <c r="D479"/>
  <c r="E479" s="1"/>
  <c r="E478"/>
  <c r="D477"/>
  <c r="E477" s="1"/>
  <c r="G271"/>
  <c r="D476"/>
  <c r="E476" s="1"/>
  <c r="G270"/>
  <c r="D475"/>
  <c r="E475" s="1"/>
  <c r="G269"/>
  <c r="E471"/>
  <c r="G265"/>
  <c r="D470"/>
  <c r="E470" s="1"/>
  <c r="E469"/>
  <c r="E468"/>
  <c r="G262"/>
  <c r="G261" s="1"/>
  <c r="G260" s="1"/>
  <c r="D467"/>
  <c r="E467" s="1"/>
  <c r="E172"/>
  <c r="E171"/>
  <c r="E170"/>
  <c r="J256"/>
  <c r="F169"/>
  <c r="E169" s="1"/>
  <c r="J255"/>
  <c r="I255"/>
  <c r="F168"/>
  <c r="E167"/>
  <c r="J253"/>
  <c r="I253"/>
  <c r="I252" s="1"/>
  <c r="I251" s="1"/>
  <c r="I250" s="1"/>
  <c r="F166"/>
  <c r="E166" s="1"/>
  <c r="D156"/>
  <c r="E345"/>
  <c r="G245"/>
  <c r="G239" s="1"/>
  <c r="D344"/>
  <c r="E344" s="1"/>
  <c r="E334"/>
  <c r="J243"/>
  <c r="I243"/>
  <c r="F333"/>
  <c r="E333" s="1"/>
  <c r="E332"/>
  <c r="J241"/>
  <c r="J240" s="1"/>
  <c r="J239" s="1"/>
  <c r="I241"/>
  <c r="I240" s="1"/>
  <c r="I239" s="1"/>
  <c r="F331"/>
  <c r="E331" s="1"/>
  <c r="D325"/>
  <c r="E322"/>
  <c r="J237"/>
  <c r="I237"/>
  <c r="S225" s="1"/>
  <c r="G237"/>
  <c r="G235" s="1"/>
  <c r="G225" s="1"/>
  <c r="F321"/>
  <c r="F319" s="1"/>
  <c r="D321"/>
  <c r="E320"/>
  <c r="J235"/>
  <c r="I235"/>
  <c r="D319"/>
  <c r="E318"/>
  <c r="G233"/>
  <c r="D317"/>
  <c r="E317" s="1"/>
  <c r="G232"/>
  <c r="G227" s="1"/>
  <c r="G226" s="1"/>
  <c r="D316"/>
  <c r="E315"/>
  <c r="J230"/>
  <c r="J229" s="1"/>
  <c r="J228" s="1"/>
  <c r="I230"/>
  <c r="I229" s="1"/>
  <c r="I228" s="1"/>
  <c r="E314"/>
  <c r="T225"/>
  <c r="J224"/>
  <c r="J221" s="1"/>
  <c r="I224"/>
  <c r="F301"/>
  <c r="E301" s="1"/>
  <c r="E300"/>
  <c r="E299"/>
  <c r="I221"/>
  <c r="G221"/>
  <c r="D298"/>
  <c r="G220"/>
  <c r="D292"/>
  <c r="E292" s="1"/>
  <c r="G219"/>
  <c r="E290"/>
  <c r="E289"/>
  <c r="G216"/>
  <c r="D288"/>
  <c r="E288" s="1"/>
  <c r="E287"/>
  <c r="G213"/>
  <c r="G212" s="1"/>
  <c r="D285"/>
  <c r="E285" s="1"/>
  <c r="E283"/>
  <c r="E282"/>
  <c r="G209"/>
  <c r="D281"/>
  <c r="E281" s="1"/>
  <c r="E280"/>
  <c r="J206"/>
  <c r="J205" s="1"/>
  <c r="I206"/>
  <c r="F278"/>
  <c r="E278" s="1"/>
  <c r="F276"/>
  <c r="J203"/>
  <c r="I203"/>
  <c r="F767"/>
  <c r="E767" s="1"/>
  <c r="L196"/>
  <c r="F766"/>
  <c r="E766" s="1"/>
  <c r="J195"/>
  <c r="J194" s="1"/>
  <c r="J193" s="1"/>
  <c r="J192" s="1"/>
  <c r="I195"/>
  <c r="G195"/>
  <c r="G194" s="1"/>
  <c r="G193" s="1"/>
  <c r="G192" s="1"/>
  <c r="F765"/>
  <c r="D765"/>
  <c r="I194"/>
  <c r="I193" s="1"/>
  <c r="I192" s="1"/>
  <c r="N191"/>
  <c r="M191"/>
  <c r="L191"/>
  <c r="J191"/>
  <c r="J190" s="1"/>
  <c r="J189" s="1"/>
  <c r="I191"/>
  <c r="I190" s="1"/>
  <c r="I189" s="1"/>
  <c r="G191"/>
  <c r="G190" s="1"/>
  <c r="G189" s="1"/>
  <c r="F348"/>
  <c r="F347" s="1"/>
  <c r="F346" s="1"/>
  <c r="D348"/>
  <c r="D347" s="1"/>
  <c r="E347" s="1"/>
  <c r="G188"/>
  <c r="G187" s="1"/>
  <c r="D336"/>
  <c r="E336" s="1"/>
  <c r="G186"/>
  <c r="G185" s="1"/>
  <c r="D329"/>
  <c r="E329" s="1"/>
  <c r="N183"/>
  <c r="M183"/>
  <c r="L183"/>
  <c r="J183"/>
  <c r="J182" s="1"/>
  <c r="I183"/>
  <c r="I182" s="1"/>
  <c r="F268"/>
  <c r="E268" s="1"/>
  <c r="J181"/>
  <c r="I181"/>
  <c r="G181"/>
  <c r="F266"/>
  <c r="D266"/>
  <c r="J180"/>
  <c r="I180"/>
  <c r="G180"/>
  <c r="G179" s="1"/>
  <c r="F265"/>
  <c r="D265"/>
  <c r="E263"/>
  <c r="J177"/>
  <c r="I177"/>
  <c r="G177"/>
  <c r="E262"/>
  <c r="E261"/>
  <c r="J175"/>
  <c r="I175"/>
  <c r="I174" s="1"/>
  <c r="G175"/>
  <c r="D260"/>
  <c r="E260" s="1"/>
  <c r="F259"/>
  <c r="E258"/>
  <c r="E257"/>
  <c r="J171"/>
  <c r="J170" s="1"/>
  <c r="I171"/>
  <c r="I170" s="1"/>
  <c r="F256"/>
  <c r="E256" s="1"/>
  <c r="E254"/>
  <c r="G168"/>
  <c r="D253"/>
  <c r="E253" s="1"/>
  <c r="G167"/>
  <c r="G166" s="1"/>
  <c r="D252"/>
  <c r="E252" s="1"/>
  <c r="E250"/>
  <c r="E249"/>
  <c r="G163"/>
  <c r="D248"/>
  <c r="E248" s="1"/>
  <c r="G162"/>
  <c r="D247"/>
  <c r="E247" s="1"/>
  <c r="E246"/>
  <c r="E245"/>
  <c r="G159"/>
  <c r="D244"/>
  <c r="E244" s="1"/>
  <c r="G158"/>
  <c r="D243"/>
  <c r="E243" s="1"/>
  <c r="G157"/>
  <c r="D242"/>
  <c r="E242" s="1"/>
  <c r="E240"/>
  <c r="J154"/>
  <c r="I154"/>
  <c r="F239"/>
  <c r="E239" s="1"/>
  <c r="J153"/>
  <c r="J152" s="1"/>
  <c r="I153"/>
  <c r="F238"/>
  <c r="E238" s="1"/>
  <c r="I152"/>
  <c r="E236"/>
  <c r="E235"/>
  <c r="J149"/>
  <c r="I149"/>
  <c r="F234"/>
  <c r="E234" s="1"/>
  <c r="J148"/>
  <c r="I148"/>
  <c r="F233"/>
  <c r="J147"/>
  <c r="I147"/>
  <c r="F232"/>
  <c r="E232" s="1"/>
  <c r="E231"/>
  <c r="J145"/>
  <c r="I145"/>
  <c r="F230"/>
  <c r="E230" s="1"/>
  <c r="E764"/>
  <c r="E763"/>
  <c r="J136"/>
  <c r="J135" s="1"/>
  <c r="J134" s="1"/>
  <c r="J133" s="1"/>
  <c r="I136"/>
  <c r="I135" s="1"/>
  <c r="I134" s="1"/>
  <c r="I133" s="1"/>
  <c r="G136"/>
  <c r="G135" s="1"/>
  <c r="G134" s="1"/>
  <c r="G133" s="1"/>
  <c r="F762"/>
  <c r="D762"/>
  <c r="E327"/>
  <c r="G131"/>
  <c r="G130" s="1"/>
  <c r="D326"/>
  <c r="E326" s="1"/>
  <c r="E223"/>
  <c r="J128"/>
  <c r="I128"/>
  <c r="G128"/>
  <c r="F222"/>
  <c r="D222"/>
  <c r="E226"/>
  <c r="N126"/>
  <c r="M126"/>
  <c r="L126"/>
  <c r="E225"/>
  <c r="J125"/>
  <c r="I125"/>
  <c r="G125"/>
  <c r="F224"/>
  <c r="D224"/>
  <c r="E221"/>
  <c r="E220"/>
  <c r="E219"/>
  <c r="E218"/>
  <c r="J120"/>
  <c r="I120"/>
  <c r="G120"/>
  <c r="F217"/>
  <c r="D217"/>
  <c r="E216"/>
  <c r="J118"/>
  <c r="J117" s="1"/>
  <c r="I118"/>
  <c r="F215"/>
  <c r="E215" s="1"/>
  <c r="I117"/>
  <c r="E213"/>
  <c r="G115"/>
  <c r="D212"/>
  <c r="E212" s="1"/>
  <c r="E211"/>
  <c r="G113"/>
  <c r="G111" s="1"/>
  <c r="D210"/>
  <c r="E210" s="1"/>
  <c r="E209"/>
  <c r="D208"/>
  <c r="E208" s="1"/>
  <c r="G110"/>
  <c r="D207"/>
  <c r="E207" s="1"/>
  <c r="G109"/>
  <c r="D206"/>
  <c r="E206" s="1"/>
  <c r="E204"/>
  <c r="J106"/>
  <c r="I106"/>
  <c r="F203"/>
  <c r="E203" s="1"/>
  <c r="E202"/>
  <c r="J104"/>
  <c r="I104"/>
  <c r="F201"/>
  <c r="E201" s="1"/>
  <c r="J103"/>
  <c r="I103"/>
  <c r="F200"/>
  <c r="E200" s="1"/>
  <c r="E199"/>
  <c r="J101"/>
  <c r="I101"/>
  <c r="F198"/>
  <c r="E198" s="1"/>
  <c r="S95"/>
  <c r="E761"/>
  <c r="E760"/>
  <c r="J90"/>
  <c r="I90"/>
  <c r="I89" s="1"/>
  <c r="I88" s="1"/>
  <c r="I87" s="1"/>
  <c r="G90"/>
  <c r="F759"/>
  <c r="D759"/>
  <c r="J89"/>
  <c r="J88" s="1"/>
  <c r="J87" s="1"/>
  <c r="G89"/>
  <c r="G88" s="1"/>
  <c r="G87" s="1"/>
  <c r="G86"/>
  <c r="G84" s="1"/>
  <c r="D464"/>
  <c r="E464" s="1"/>
  <c r="E463"/>
  <c r="G83"/>
  <c r="D461"/>
  <c r="E461" s="1"/>
  <c r="G82"/>
  <c r="D460"/>
  <c r="E460" s="1"/>
  <c r="E164"/>
  <c r="J79"/>
  <c r="F163"/>
  <c r="E163" s="1"/>
  <c r="J78"/>
  <c r="I78"/>
  <c r="F162"/>
  <c r="E162" s="1"/>
  <c r="E161"/>
  <c r="J76"/>
  <c r="I76"/>
  <c r="I75" s="1"/>
  <c r="I74" s="1"/>
  <c r="I73" s="1"/>
  <c r="I71" s="1"/>
  <c r="F160"/>
  <c r="E160" s="1"/>
  <c r="G69"/>
  <c r="G68" s="1"/>
  <c r="D402"/>
  <c r="E402" s="1"/>
  <c r="G67"/>
  <c r="G66" s="1"/>
  <c r="D400"/>
  <c r="E400" s="1"/>
  <c r="G65"/>
  <c r="G63" s="1"/>
  <c r="D393"/>
  <c r="E393" s="1"/>
  <c r="E392"/>
  <c r="E390"/>
  <c r="E389"/>
  <c r="G60"/>
  <c r="D388"/>
  <c r="E388" s="1"/>
  <c r="E387"/>
  <c r="J58"/>
  <c r="J54" s="1"/>
  <c r="J53" s="1"/>
  <c r="J52" s="1"/>
  <c r="F386"/>
  <c r="E386" s="1"/>
  <c r="E385"/>
  <c r="E384"/>
  <c r="E383"/>
  <c r="I54"/>
  <c r="I53" s="1"/>
  <c r="I52" s="1"/>
  <c r="N51"/>
  <c r="N5" s="1"/>
  <c r="M51"/>
  <c r="L51"/>
  <c r="L5" s="1"/>
  <c r="L3" s="1"/>
  <c r="J51"/>
  <c r="J50" s="1"/>
  <c r="I51"/>
  <c r="G51"/>
  <c r="G50" s="1"/>
  <c r="F378"/>
  <c r="F377" s="1"/>
  <c r="D378"/>
  <c r="D377" s="1"/>
  <c r="I50"/>
  <c r="E376"/>
  <c r="G48"/>
  <c r="D375"/>
  <c r="E375" s="1"/>
  <c r="E374"/>
  <c r="G46"/>
  <c r="D373"/>
  <c r="E373" s="1"/>
  <c r="G45"/>
  <c r="D372"/>
  <c r="E372" s="1"/>
  <c r="G44"/>
  <c r="D371"/>
  <c r="E371" s="1"/>
  <c r="E370"/>
  <c r="E368"/>
  <c r="E367"/>
  <c r="G39"/>
  <c r="F366"/>
  <c r="D366"/>
  <c r="E365"/>
  <c r="J37"/>
  <c r="I37"/>
  <c r="F364"/>
  <c r="E364" s="1"/>
  <c r="E363"/>
  <c r="J35"/>
  <c r="I35"/>
  <c r="I30" s="1"/>
  <c r="F362"/>
  <c r="E362" s="1"/>
  <c r="J34"/>
  <c r="F361"/>
  <c r="E361" s="1"/>
  <c r="E360"/>
  <c r="E359"/>
  <c r="E358"/>
  <c r="F357"/>
  <c r="E357" s="1"/>
  <c r="G23"/>
  <c r="G22" s="1"/>
  <c r="D297"/>
  <c r="E297" s="1"/>
  <c r="D296"/>
  <c r="E295"/>
  <c r="E294"/>
  <c r="G19"/>
  <c r="D293"/>
  <c r="E274"/>
  <c r="J17"/>
  <c r="J16" s="1"/>
  <c r="J15" s="1"/>
  <c r="J14" s="1"/>
  <c r="J13" s="1"/>
  <c r="J12" s="1"/>
  <c r="J11" s="1"/>
  <c r="I17"/>
  <c r="F273"/>
  <c r="I16"/>
  <c r="I15" s="1"/>
  <c r="I14" s="1"/>
  <c r="I13" s="1"/>
  <c r="I12" s="1"/>
  <c r="I11" s="1"/>
  <c r="J335" l="1"/>
  <c r="H44" i="44"/>
  <c r="I43"/>
  <c r="H43" s="1"/>
  <c r="J30" i="42"/>
  <c r="J29" s="1"/>
  <c r="E759"/>
  <c r="D251"/>
  <c r="E251" s="1"/>
  <c r="D466"/>
  <c r="J279"/>
  <c r="J278" s="1"/>
  <c r="J277" s="1"/>
  <c r="D817"/>
  <c r="E817" s="1"/>
  <c r="I377"/>
  <c r="I376" s="1"/>
  <c r="I375" s="1"/>
  <c r="I374" s="1"/>
  <c r="T390"/>
  <c r="G435"/>
  <c r="D656"/>
  <c r="E656" s="1"/>
  <c r="G527"/>
  <c r="D423"/>
  <c r="E423" s="1"/>
  <c r="F742"/>
  <c r="E742" s="1"/>
  <c r="F737"/>
  <c r="D304"/>
  <c r="E304" s="1"/>
  <c r="G365" i="44"/>
  <c r="E374"/>
  <c r="G395"/>
  <c r="H395" s="1"/>
  <c r="D397"/>
  <c r="E397" s="1"/>
  <c r="H213"/>
  <c r="D247"/>
  <c r="E247" s="1"/>
  <c r="H344"/>
  <c r="I326"/>
  <c r="H326" s="1"/>
  <c r="D462"/>
  <c r="E436"/>
  <c r="D809"/>
  <c r="E809" s="1"/>
  <c r="E744"/>
  <c r="D586"/>
  <c r="H781"/>
  <c r="G418"/>
  <c r="I822"/>
  <c r="H822" s="1"/>
  <c r="D843"/>
  <c r="E843" s="1"/>
  <c r="F25"/>
  <c r="E25" s="1"/>
  <c r="F44"/>
  <c r="G128"/>
  <c r="H128" s="1"/>
  <c r="E534"/>
  <c r="D300"/>
  <c r="E300" s="1"/>
  <c r="G174" i="42"/>
  <c r="E390" i="44"/>
  <c r="I98"/>
  <c r="D117"/>
  <c r="E117" s="1"/>
  <c r="D462" i="42"/>
  <c r="E462" s="1"/>
  <c r="T139"/>
  <c r="F264"/>
  <c r="G184"/>
  <c r="D474"/>
  <c r="E474" s="1"/>
  <c r="J377"/>
  <c r="J376" s="1"/>
  <c r="J375" s="1"/>
  <c r="J374" s="1"/>
  <c r="D608"/>
  <c r="E608" s="1"/>
  <c r="J566"/>
  <c r="J565" s="1"/>
  <c r="J564" s="1"/>
  <c r="J563" s="1"/>
  <c r="J630"/>
  <c r="J629" s="1"/>
  <c r="J628" s="1"/>
  <c r="J627" s="1"/>
  <c r="D37"/>
  <c r="G707"/>
  <c r="D129"/>
  <c r="E129" s="1"/>
  <c r="G834"/>
  <c r="D453"/>
  <c r="F102"/>
  <c r="E102" s="1"/>
  <c r="I352" i="44"/>
  <c r="J352"/>
  <c r="J351" s="1"/>
  <c r="K158"/>
  <c r="F210"/>
  <c r="E210" s="1"/>
  <c r="I225"/>
  <c r="H225" s="1"/>
  <c r="G247"/>
  <c r="H247" s="1"/>
  <c r="I255"/>
  <c r="F761"/>
  <c r="F273"/>
  <c r="E273" s="1"/>
  <c r="G275"/>
  <c r="H275" s="1"/>
  <c r="D280"/>
  <c r="E280" s="1"/>
  <c r="G462"/>
  <c r="D470"/>
  <c r="F170"/>
  <c r="E170" s="1"/>
  <c r="F715"/>
  <c r="E715" s="1"/>
  <c r="G721"/>
  <c r="G720" s="1"/>
  <c r="G719" s="1"/>
  <c r="G718" s="1"/>
  <c r="G717" s="1"/>
  <c r="J592"/>
  <c r="D419"/>
  <c r="F828"/>
  <c r="E828" s="1"/>
  <c r="G843"/>
  <c r="H843" s="1"/>
  <c r="G105"/>
  <c r="G543"/>
  <c r="J515"/>
  <c r="J514" s="1"/>
  <c r="J67"/>
  <c r="J66" s="1"/>
  <c r="J65" s="1"/>
  <c r="I451"/>
  <c r="H451" s="1"/>
  <c r="G300"/>
  <c r="H300" s="1"/>
  <c r="J733"/>
  <c r="J710" s="1"/>
  <c r="G733"/>
  <c r="G732" s="1"/>
  <c r="H732" s="1"/>
  <c r="G734"/>
  <c r="G730" s="1"/>
  <c r="G729" s="1"/>
  <c r="G707"/>
  <c r="G674" s="1"/>
  <c r="E289"/>
  <c r="D292"/>
  <c r="G292"/>
  <c r="H292" s="1"/>
  <c r="F353"/>
  <c r="E353" s="1"/>
  <c r="D365"/>
  <c r="E365" s="1"/>
  <c r="D377"/>
  <c r="G397"/>
  <c r="H397" s="1"/>
  <c r="K197"/>
  <c r="E213"/>
  <c r="E218"/>
  <c r="H758"/>
  <c r="F225"/>
  <c r="E225" s="1"/>
  <c r="J225"/>
  <c r="J224" s="1"/>
  <c r="J223" s="1"/>
  <c r="K230"/>
  <c r="K234"/>
  <c r="D240"/>
  <c r="E240" s="1"/>
  <c r="F251"/>
  <c r="E251" s="1"/>
  <c r="H256"/>
  <c r="J255"/>
  <c r="K274"/>
  <c r="D275"/>
  <c r="E275" s="1"/>
  <c r="D282"/>
  <c r="E282" s="1"/>
  <c r="E315"/>
  <c r="K162"/>
  <c r="K164"/>
  <c r="G470"/>
  <c r="G473"/>
  <c r="H473" s="1"/>
  <c r="K174"/>
  <c r="G479"/>
  <c r="G482"/>
  <c r="H482" s="1"/>
  <c r="E448"/>
  <c r="K684"/>
  <c r="J64"/>
  <c r="E772"/>
  <c r="G724"/>
  <c r="J625"/>
  <c r="D725"/>
  <c r="D723" s="1"/>
  <c r="F592"/>
  <c r="E592" s="1"/>
  <c r="E781"/>
  <c r="J726"/>
  <c r="J725" s="1"/>
  <c r="I414"/>
  <c r="J19"/>
  <c r="J18" s="1"/>
  <c r="J818"/>
  <c r="D543"/>
  <c r="E543" s="1"/>
  <c r="H543"/>
  <c r="F787"/>
  <c r="E787" s="1"/>
  <c r="J707"/>
  <c r="G114"/>
  <c r="G117"/>
  <c r="H117" s="1"/>
  <c r="G125"/>
  <c r="E394"/>
  <c r="D867"/>
  <c r="E867" s="1"/>
  <c r="K518"/>
  <c r="H548"/>
  <c r="K70"/>
  <c r="G711"/>
  <c r="F401"/>
  <c r="H255"/>
  <c r="J706"/>
  <c r="H158"/>
  <c r="F161"/>
  <c r="E161" s="1"/>
  <c r="H162"/>
  <c r="F169"/>
  <c r="I170"/>
  <c r="H179"/>
  <c r="H436"/>
  <c r="D813"/>
  <c r="E813" s="1"/>
  <c r="F19"/>
  <c r="E19" s="1"/>
  <c r="K20"/>
  <c r="I834"/>
  <c r="H834" s="1"/>
  <c r="I25"/>
  <c r="H25" s="1"/>
  <c r="E443"/>
  <c r="F451"/>
  <c r="E451" s="1"/>
  <c r="D255"/>
  <c r="F260"/>
  <c r="E260" s="1"/>
  <c r="I260"/>
  <c r="E262"/>
  <c r="F263"/>
  <c r="E263" s="1"/>
  <c r="I343"/>
  <c r="I342" s="1"/>
  <c r="H342" s="1"/>
  <c r="K627"/>
  <c r="K629"/>
  <c r="K633"/>
  <c r="K358"/>
  <c r="K194"/>
  <c r="E344"/>
  <c r="H315"/>
  <c r="E317"/>
  <c r="E764"/>
  <c r="K503"/>
  <c r="F626"/>
  <c r="E626" s="1"/>
  <c r="H627"/>
  <c r="H518"/>
  <c r="E220"/>
  <c r="D331"/>
  <c r="E331" s="1"/>
  <c r="H90"/>
  <c r="H617"/>
  <c r="K593"/>
  <c r="K595"/>
  <c r="K597"/>
  <c r="K28"/>
  <c r="E62"/>
  <c r="F267"/>
  <c r="E268"/>
  <c r="J267"/>
  <c r="J266" s="1"/>
  <c r="J17"/>
  <c r="J16" s="1"/>
  <c r="J15" s="1"/>
  <c r="H321"/>
  <c r="J154"/>
  <c r="J742"/>
  <c r="F822"/>
  <c r="E822" s="1"/>
  <c r="F827"/>
  <c r="E827" s="1"/>
  <c r="I828"/>
  <c r="J376"/>
  <c r="J375" s="1"/>
  <c r="D842"/>
  <c r="J513"/>
  <c r="J512" s="1"/>
  <c r="J511" s="1"/>
  <c r="J350"/>
  <c r="J429"/>
  <c r="J428" s="1"/>
  <c r="J427" s="1"/>
  <c r="J426" s="1"/>
  <c r="J93"/>
  <c r="J713"/>
  <c r="J680" s="1"/>
  <c r="J736"/>
  <c r="H755"/>
  <c r="E294"/>
  <c r="E695"/>
  <c r="J562"/>
  <c r="J624"/>
  <c r="J623" s="1"/>
  <c r="D439"/>
  <c r="D438" s="1"/>
  <c r="J439"/>
  <c r="J438" s="1"/>
  <c r="D54"/>
  <c r="G842"/>
  <c r="J53"/>
  <c r="J52" s="1"/>
  <c r="G55"/>
  <c r="G54" s="1"/>
  <c r="G440"/>
  <c r="G439" s="1"/>
  <c r="I429"/>
  <c r="I428" s="1"/>
  <c r="H428" s="1"/>
  <c r="E755"/>
  <c r="K226"/>
  <c r="F343"/>
  <c r="H448"/>
  <c r="H441"/>
  <c r="F738"/>
  <c r="F98"/>
  <c r="F373"/>
  <c r="E373" s="1"/>
  <c r="K686"/>
  <c r="H746"/>
  <c r="E620"/>
  <c r="H620"/>
  <c r="J591"/>
  <c r="J590" s="1"/>
  <c r="J589" s="1"/>
  <c r="K22"/>
  <c r="K45"/>
  <c r="K47"/>
  <c r="D128"/>
  <c r="E60"/>
  <c r="F377"/>
  <c r="E33"/>
  <c r="D376"/>
  <c r="G299"/>
  <c r="F694"/>
  <c r="E321"/>
  <c r="E179"/>
  <c r="E746"/>
  <c r="E751"/>
  <c r="E586"/>
  <c r="E541"/>
  <c r="H358"/>
  <c r="K196"/>
  <c r="H197"/>
  <c r="K228"/>
  <c r="H230"/>
  <c r="H343"/>
  <c r="E447"/>
  <c r="E743"/>
  <c r="H743"/>
  <c r="H567"/>
  <c r="H775"/>
  <c r="H619"/>
  <c r="E615"/>
  <c r="H615"/>
  <c r="I833"/>
  <c r="F834"/>
  <c r="K32"/>
  <c r="E753"/>
  <c r="H753"/>
  <c r="H394"/>
  <c r="H70"/>
  <c r="E801"/>
  <c r="H262"/>
  <c r="G331"/>
  <c r="I306"/>
  <c r="H317"/>
  <c r="H686"/>
  <c r="K600"/>
  <c r="K21"/>
  <c r="I821"/>
  <c r="H45"/>
  <c r="H88"/>
  <c r="F429"/>
  <c r="F428" s="1"/>
  <c r="D673"/>
  <c r="G695"/>
  <c r="G694" s="1"/>
  <c r="G693" s="1"/>
  <c r="J498"/>
  <c r="H269"/>
  <c r="E292"/>
  <c r="H220"/>
  <c r="E255"/>
  <c r="H260"/>
  <c r="E761"/>
  <c r="H294"/>
  <c r="E90"/>
  <c r="H772"/>
  <c r="E775"/>
  <c r="I18"/>
  <c r="I17" s="1"/>
  <c r="H17" s="1"/>
  <c r="E441"/>
  <c r="I737"/>
  <c r="I736" s="1"/>
  <c r="H60"/>
  <c r="H390"/>
  <c r="H541"/>
  <c r="F85"/>
  <c r="D299"/>
  <c r="D269"/>
  <c r="E269" s="1"/>
  <c r="H218"/>
  <c r="E758"/>
  <c r="E694"/>
  <c r="J186"/>
  <c r="H764"/>
  <c r="H751"/>
  <c r="F742"/>
  <c r="F625"/>
  <c r="E617"/>
  <c r="I42"/>
  <c r="H42" s="1"/>
  <c r="D265"/>
  <c r="D558"/>
  <c r="D493" s="1"/>
  <c r="D352"/>
  <c r="D351" s="1"/>
  <c r="F352"/>
  <c r="I373"/>
  <c r="H373" s="1"/>
  <c r="G377"/>
  <c r="I377"/>
  <c r="I376" s="1"/>
  <c r="F155"/>
  <c r="I155"/>
  <c r="H156"/>
  <c r="D455"/>
  <c r="D454" s="1"/>
  <c r="E454" s="1"/>
  <c r="G455"/>
  <c r="G454" s="1"/>
  <c r="H454" s="1"/>
  <c r="D458"/>
  <c r="E458" s="1"/>
  <c r="G458"/>
  <c r="H458" s="1"/>
  <c r="F193"/>
  <c r="I193"/>
  <c r="H194"/>
  <c r="D201"/>
  <c r="G201"/>
  <c r="D204"/>
  <c r="E204" s="1"/>
  <c r="G204"/>
  <c r="H204" s="1"/>
  <c r="H228"/>
  <c r="H229"/>
  <c r="F233"/>
  <c r="I233"/>
  <c r="H233" s="1"/>
  <c r="H234"/>
  <c r="D237"/>
  <c r="G237"/>
  <c r="D140"/>
  <c r="I273"/>
  <c r="H274"/>
  <c r="F154"/>
  <c r="I154"/>
  <c r="H164"/>
  <c r="K172"/>
  <c r="H174"/>
  <c r="F438"/>
  <c r="I447"/>
  <c r="F333"/>
  <c r="I333"/>
  <c r="F683"/>
  <c r="I683"/>
  <c r="H684"/>
  <c r="F714"/>
  <c r="I714"/>
  <c r="I741"/>
  <c r="I740" s="1"/>
  <c r="H740" s="1"/>
  <c r="F564"/>
  <c r="I564"/>
  <c r="H565"/>
  <c r="D574"/>
  <c r="G574"/>
  <c r="D577"/>
  <c r="E577" s="1"/>
  <c r="G577"/>
  <c r="H577" s="1"/>
  <c r="G586"/>
  <c r="F501"/>
  <c r="I501"/>
  <c r="D652"/>
  <c r="G652"/>
  <c r="D655"/>
  <c r="E655" s="1"/>
  <c r="G655"/>
  <c r="H655" s="1"/>
  <c r="I625"/>
  <c r="I624" s="1"/>
  <c r="H629"/>
  <c r="H633"/>
  <c r="D636"/>
  <c r="G636"/>
  <c r="D639"/>
  <c r="E639" s="1"/>
  <c r="G639"/>
  <c r="H639" s="1"/>
  <c r="F619"/>
  <c r="F624"/>
  <c r="F623" s="1"/>
  <c r="H595"/>
  <c r="H597"/>
  <c r="F599"/>
  <c r="I599"/>
  <c r="H599" s="1"/>
  <c r="H600"/>
  <c r="D601"/>
  <c r="G601"/>
  <c r="D604"/>
  <c r="E604" s="1"/>
  <c r="G604"/>
  <c r="H604" s="1"/>
  <c r="E525"/>
  <c r="D523"/>
  <c r="E528"/>
  <c r="D526"/>
  <c r="E526" s="1"/>
  <c r="E733"/>
  <c r="E533"/>
  <c r="H538"/>
  <c r="I537"/>
  <c r="H537" s="1"/>
  <c r="H68"/>
  <c r="I67"/>
  <c r="H77"/>
  <c r="G75"/>
  <c r="H80"/>
  <c r="G78"/>
  <c r="H78" s="1"/>
  <c r="H801"/>
  <c r="I734"/>
  <c r="I733" s="1"/>
  <c r="E409"/>
  <c r="D407"/>
  <c r="E412"/>
  <c r="D410"/>
  <c r="E410" s="1"/>
  <c r="D424"/>
  <c r="H443"/>
  <c r="I440"/>
  <c r="I439" s="1"/>
  <c r="E450"/>
  <c r="D449"/>
  <c r="E449" s="1"/>
  <c r="H98"/>
  <c r="I97"/>
  <c r="E100"/>
  <c r="D96"/>
  <c r="F713"/>
  <c r="F416"/>
  <c r="H20"/>
  <c r="H21"/>
  <c r="H22"/>
  <c r="K26"/>
  <c r="H28"/>
  <c r="I16"/>
  <c r="H47"/>
  <c r="F731"/>
  <c r="I731"/>
  <c r="F548"/>
  <c r="E548" s="1"/>
  <c r="K68"/>
  <c r="E85"/>
  <c r="F55"/>
  <c r="F54" s="1"/>
  <c r="E54" s="1"/>
  <c r="I56"/>
  <c r="H62"/>
  <c r="H449"/>
  <c r="G96"/>
  <c r="K99"/>
  <c r="H516"/>
  <c r="I515"/>
  <c r="H525"/>
  <c r="G523"/>
  <c r="H528"/>
  <c r="G526"/>
  <c r="H526" s="1"/>
  <c r="H798"/>
  <c r="E538"/>
  <c r="F537"/>
  <c r="E68"/>
  <c r="F67"/>
  <c r="E77"/>
  <c r="D75"/>
  <c r="E80"/>
  <c r="D78"/>
  <c r="E78" s="1"/>
  <c r="H86"/>
  <c r="I85"/>
  <c r="H85" s="1"/>
  <c r="E89"/>
  <c r="D88"/>
  <c r="E88" s="1"/>
  <c r="E734"/>
  <c r="F711"/>
  <c r="F710" s="1"/>
  <c r="I399"/>
  <c r="H409"/>
  <c r="G407"/>
  <c r="H412"/>
  <c r="G410"/>
  <c r="H410" s="1"/>
  <c r="H434"/>
  <c r="G426"/>
  <c r="G425" s="1"/>
  <c r="E440"/>
  <c r="I427"/>
  <c r="H427" s="1"/>
  <c r="E98"/>
  <c r="F97"/>
  <c r="H736"/>
  <c r="I713"/>
  <c r="F515"/>
  <c r="K516"/>
  <c r="I302" i="42"/>
  <c r="G402"/>
  <c r="G401" s="1"/>
  <c r="G400" s="1"/>
  <c r="G399" s="1"/>
  <c r="G398" s="1"/>
  <c r="E319"/>
  <c r="M5"/>
  <c r="G320"/>
  <c r="G313" s="1"/>
  <c r="T334"/>
  <c r="E776"/>
  <c r="E398"/>
  <c r="I144"/>
  <c r="I143" s="1"/>
  <c r="J174"/>
  <c r="E621"/>
  <c r="D726"/>
  <c r="I398"/>
  <c r="T10"/>
  <c r="J302"/>
  <c r="G317"/>
  <c r="E440"/>
  <c r="I342"/>
  <c r="I341" s="1"/>
  <c r="I340" s="1"/>
  <c r="I337" s="1"/>
  <c r="I336" s="1"/>
  <c r="I335" s="1"/>
  <c r="E624"/>
  <c r="I495"/>
  <c r="I494" s="1"/>
  <c r="I493" s="1"/>
  <c r="I492" s="1"/>
  <c r="F651"/>
  <c r="E651" s="1"/>
  <c r="T560"/>
  <c r="F394"/>
  <c r="J202"/>
  <c r="G374"/>
  <c r="G373" s="1"/>
  <c r="G372" s="1"/>
  <c r="I461"/>
  <c r="I460" s="1"/>
  <c r="I459" s="1"/>
  <c r="I458" s="1"/>
  <c r="S560"/>
  <c r="F826"/>
  <c r="E826" s="1"/>
  <c r="D411"/>
  <c r="E411" s="1"/>
  <c r="F455"/>
  <c r="E455" s="1"/>
  <c r="F101"/>
  <c r="E101" s="1"/>
  <c r="G81"/>
  <c r="J100"/>
  <c r="J99" s="1"/>
  <c r="E217"/>
  <c r="F267"/>
  <c r="E267" s="1"/>
  <c r="I248"/>
  <c r="I247" s="1"/>
  <c r="S247"/>
  <c r="E64"/>
  <c r="E619"/>
  <c r="F542"/>
  <c r="E542" s="1"/>
  <c r="F59"/>
  <c r="D346"/>
  <c r="E346" s="1"/>
  <c r="P198"/>
  <c r="D59"/>
  <c r="D444"/>
  <c r="G394"/>
  <c r="G393" s="1"/>
  <c r="G392"/>
  <c r="G434"/>
  <c r="G433" s="1"/>
  <c r="G432" s="1"/>
  <c r="G431"/>
  <c r="F255"/>
  <c r="J227"/>
  <c r="J226" s="1"/>
  <c r="J225" s="1"/>
  <c r="T770"/>
  <c r="J823"/>
  <c r="J822" s="1"/>
  <c r="E66"/>
  <c r="D264"/>
  <c r="F277"/>
  <c r="E277" s="1"/>
  <c r="F330"/>
  <c r="F603"/>
  <c r="E603" s="1"/>
  <c r="E445"/>
  <c r="I773"/>
  <c r="I772"/>
  <c r="I771" s="1"/>
  <c r="D273"/>
  <c r="D269" s="1"/>
  <c r="I70"/>
  <c r="E224"/>
  <c r="E222"/>
  <c r="G156"/>
  <c r="G143" s="1"/>
  <c r="S139"/>
  <c r="E264"/>
  <c r="T198"/>
  <c r="E94"/>
  <c r="G514"/>
  <c r="G513" s="1"/>
  <c r="G512" s="1"/>
  <c r="G511" s="1"/>
  <c r="G510" s="1"/>
  <c r="F838"/>
  <c r="E838" s="1"/>
  <c r="F29"/>
  <c r="E29" s="1"/>
  <c r="F443"/>
  <c r="F442" s="1"/>
  <c r="D118"/>
  <c r="E118" s="1"/>
  <c r="G704"/>
  <c r="G703" s="1"/>
  <c r="G702" s="1"/>
  <c r="G758"/>
  <c r="G757" s="1"/>
  <c r="I823"/>
  <c r="I822" s="1"/>
  <c r="D79"/>
  <c r="E79" s="1"/>
  <c r="E366"/>
  <c r="F197"/>
  <c r="E197" s="1"/>
  <c r="D259"/>
  <c r="G268"/>
  <c r="G267" s="1"/>
  <c r="G290"/>
  <c r="G277" s="1"/>
  <c r="J313"/>
  <c r="G340"/>
  <c r="G339" s="1"/>
  <c r="G495"/>
  <c r="J515"/>
  <c r="J514" s="1"/>
  <c r="J513" s="1"/>
  <c r="J512" s="1"/>
  <c r="J511" s="1"/>
  <c r="J510" s="1"/>
  <c r="J491" s="1"/>
  <c r="D422"/>
  <c r="D418" s="1"/>
  <c r="G678"/>
  <c r="G722"/>
  <c r="G721" s="1"/>
  <c r="I313"/>
  <c r="E233"/>
  <c r="F229"/>
  <c r="E229" s="1"/>
  <c r="E276"/>
  <c r="F275"/>
  <c r="I205"/>
  <c r="I202" s="1"/>
  <c r="I201" s="1"/>
  <c r="I200" s="1"/>
  <c r="I199" s="1"/>
  <c r="I198" s="1"/>
  <c r="S198"/>
  <c r="E168"/>
  <c r="F165"/>
  <c r="G316"/>
  <c r="G315"/>
  <c r="G367"/>
  <c r="G366" s="1"/>
  <c r="G365" s="1"/>
  <c r="G364"/>
  <c r="E349"/>
  <c r="F192"/>
  <c r="S10"/>
  <c r="E378"/>
  <c r="T95"/>
  <c r="I100"/>
  <c r="I99" s="1"/>
  <c r="I98" s="1"/>
  <c r="I97" s="1"/>
  <c r="I96" s="1"/>
  <c r="I95" s="1"/>
  <c r="D241"/>
  <c r="D284"/>
  <c r="J201"/>
  <c r="J200" s="1"/>
  <c r="J199" s="1"/>
  <c r="J198" s="1"/>
  <c r="T247"/>
  <c r="G450"/>
  <c r="G449" s="1"/>
  <c r="G440" s="1"/>
  <c r="E316"/>
  <c r="E321"/>
  <c r="G250"/>
  <c r="G249" s="1"/>
  <c r="E183"/>
  <c r="E488"/>
  <c r="D486"/>
  <c r="F699"/>
  <c r="E768"/>
  <c r="D724"/>
  <c r="D699" s="1"/>
  <c r="D144"/>
  <c r="E691"/>
  <c r="F687"/>
  <c r="E814"/>
  <c r="E720"/>
  <c r="F719"/>
  <c r="E569"/>
  <c r="E507"/>
  <c r="F506"/>
  <c r="E641"/>
  <c r="D640"/>
  <c r="E640" s="1"/>
  <c r="E600"/>
  <c r="F596"/>
  <c r="E605"/>
  <c r="D595"/>
  <c r="D594" s="1"/>
  <c r="D593" s="1"/>
  <c r="D562" s="1"/>
  <c r="D497" s="1"/>
  <c r="D707"/>
  <c r="D706" s="1"/>
  <c r="E421"/>
  <c r="F420"/>
  <c r="E420" s="1"/>
  <c r="J28"/>
  <c r="J27" s="1"/>
  <c r="J26" s="1"/>
  <c r="J25" s="1"/>
  <c r="E377"/>
  <c r="I491"/>
  <c r="G775"/>
  <c r="G774" s="1"/>
  <c r="G773" s="1"/>
  <c r="G772" s="1"/>
  <c r="G771" s="1"/>
  <c r="J144"/>
  <c r="J179"/>
  <c r="E266"/>
  <c r="I179"/>
  <c r="I142" s="1"/>
  <c r="I141" s="1"/>
  <c r="I140" s="1"/>
  <c r="I139" s="1"/>
  <c r="E765"/>
  <c r="G207"/>
  <c r="G214"/>
  <c r="I227"/>
  <c r="I226" s="1"/>
  <c r="I225" s="1"/>
  <c r="J252"/>
  <c r="J251" s="1"/>
  <c r="J250" s="1"/>
  <c r="J248" s="1"/>
  <c r="J247" s="1"/>
  <c r="E452"/>
  <c r="J443"/>
  <c r="J442" s="1"/>
  <c r="J441" s="1"/>
  <c r="J461"/>
  <c r="J460" s="1"/>
  <c r="J459" s="1"/>
  <c r="J458" s="1"/>
  <c r="F23"/>
  <c r="F22" s="1"/>
  <c r="T612"/>
  <c r="I630"/>
  <c r="I629" s="1"/>
  <c r="I628" s="1"/>
  <c r="I627" s="1"/>
  <c r="E37"/>
  <c r="D109"/>
  <c r="E109" s="1"/>
  <c r="G626"/>
  <c r="E547"/>
  <c r="E757"/>
  <c r="D121"/>
  <c r="F48"/>
  <c r="J715"/>
  <c r="J714" s="1"/>
  <c r="J713" s="1"/>
  <c r="J695" s="1"/>
  <c r="J693" s="1"/>
  <c r="D132"/>
  <c r="F58"/>
  <c r="F519"/>
  <c r="E519" s="1"/>
  <c r="J806"/>
  <c r="G810"/>
  <c r="G802" s="1"/>
  <c r="G801" s="1"/>
  <c r="G800" s="1"/>
  <c r="E552"/>
  <c r="T817"/>
  <c r="J841"/>
  <c r="F405"/>
  <c r="D414"/>
  <c r="D430"/>
  <c r="I695"/>
  <c r="G74"/>
  <c r="G73" s="1"/>
  <c r="G108"/>
  <c r="G99" s="1"/>
  <c r="G98" s="1"/>
  <c r="G97" s="1"/>
  <c r="G96" s="1"/>
  <c r="G95" s="1"/>
  <c r="E755"/>
  <c r="G471"/>
  <c r="G460" s="1"/>
  <c r="G459" s="1"/>
  <c r="G458" s="1"/>
  <c r="G439" s="1"/>
  <c r="G438" s="1"/>
  <c r="I693"/>
  <c r="E537"/>
  <c r="G831"/>
  <c r="G822" s="1"/>
  <c r="G821" s="1"/>
  <c r="G820" s="1"/>
  <c r="G819" s="1"/>
  <c r="G818" s="1"/>
  <c r="G817" s="1"/>
  <c r="E444"/>
  <c r="E447"/>
  <c r="D391"/>
  <c r="J143"/>
  <c r="J142" s="1"/>
  <c r="J141" s="1"/>
  <c r="J140" s="1"/>
  <c r="J139" s="1"/>
  <c r="F237"/>
  <c r="P225" s="1"/>
  <c r="F175"/>
  <c r="F339"/>
  <c r="E750"/>
  <c r="J403"/>
  <c r="J402" s="1"/>
  <c r="J401" s="1"/>
  <c r="J400" s="1"/>
  <c r="J399" s="1"/>
  <c r="J398" s="1"/>
  <c r="D581"/>
  <c r="E581" s="1"/>
  <c r="D590"/>
  <c r="F630"/>
  <c r="D530"/>
  <c r="F714"/>
  <c r="E802"/>
  <c r="E538"/>
  <c r="F541"/>
  <c r="E541" s="1"/>
  <c r="I841"/>
  <c r="I821" s="1"/>
  <c r="I820" s="1"/>
  <c r="I819" s="1"/>
  <c r="I818" s="1"/>
  <c r="I817" s="1"/>
  <c r="F682"/>
  <c r="J773"/>
  <c r="J772"/>
  <c r="J771" s="1"/>
  <c r="J75"/>
  <c r="J74" s="1"/>
  <c r="J73" s="1"/>
  <c r="J71" s="1"/>
  <c r="J70" s="1"/>
  <c r="F214"/>
  <c r="E214" s="1"/>
  <c r="E265"/>
  <c r="D291"/>
  <c r="F298"/>
  <c r="E699"/>
  <c r="I373"/>
  <c r="I372" s="1"/>
  <c r="I334" s="1"/>
  <c r="F568"/>
  <c r="I439"/>
  <c r="I438" s="1"/>
  <c r="I391" s="1"/>
  <c r="D643"/>
  <c r="E779"/>
  <c r="F623"/>
  <c r="F825"/>
  <c r="E825" s="1"/>
  <c r="I572"/>
  <c r="I562" s="1"/>
  <c r="I561" s="1"/>
  <c r="I560" s="1"/>
  <c r="F837"/>
  <c r="E837" s="1"/>
  <c r="E545"/>
  <c r="F735"/>
  <c r="F71"/>
  <c r="D82"/>
  <c r="D92"/>
  <c r="E92" s="1"/>
  <c r="E805"/>
  <c r="E453"/>
  <c r="F433"/>
  <c r="F432" s="1"/>
  <c r="E432" s="1"/>
  <c r="D100"/>
  <c r="E296"/>
  <c r="G42"/>
  <c r="G29" s="1"/>
  <c r="G28" s="1"/>
  <c r="J98"/>
  <c r="J97" s="1"/>
  <c r="J96" s="1"/>
  <c r="J95" s="1"/>
  <c r="E348"/>
  <c r="G201"/>
  <c r="G200" s="1"/>
  <c r="G199" s="1"/>
  <c r="J572"/>
  <c r="J626"/>
  <c r="I626"/>
  <c r="J802"/>
  <c r="J801" s="1"/>
  <c r="J800" s="1"/>
  <c r="I802"/>
  <c r="I801" s="1"/>
  <c r="I800" s="1"/>
  <c r="G552"/>
  <c r="G551" s="1"/>
  <c r="G550"/>
  <c r="G549" s="1"/>
  <c r="E273"/>
  <c r="E293"/>
  <c r="I29"/>
  <c r="I28" s="1"/>
  <c r="I27" s="1"/>
  <c r="I26" s="1"/>
  <c r="I25" s="1"/>
  <c r="I24" s="1"/>
  <c r="I10" s="1"/>
  <c r="E259"/>
  <c r="E451"/>
  <c r="J373"/>
  <c r="J372" s="1"/>
  <c r="E785"/>
  <c r="F832"/>
  <c r="G600"/>
  <c r="G562" s="1"/>
  <c r="G561" s="1"/>
  <c r="G560" s="1"/>
  <c r="G701"/>
  <c r="G695" s="1"/>
  <c r="E59"/>
  <c r="G869"/>
  <c r="G868" s="1"/>
  <c r="G17"/>
  <c r="G15" s="1"/>
  <c r="G12" s="1"/>
  <c r="G11" s="1"/>
  <c r="G53"/>
  <c r="G52" s="1"/>
  <c r="J24"/>
  <c r="J10" s="1"/>
  <c r="T11" s="1"/>
  <c r="E762"/>
  <c r="F310"/>
  <c r="F741"/>
  <c r="F740" s="1"/>
  <c r="E394"/>
  <c r="G14"/>
  <c r="G13" s="1"/>
  <c r="G72"/>
  <c r="G71" s="1"/>
  <c r="G70" s="1"/>
  <c r="F356"/>
  <c r="D369"/>
  <c r="F382"/>
  <c r="D399"/>
  <c r="E399" s="1"/>
  <c r="D401"/>
  <c r="F159"/>
  <c r="D459"/>
  <c r="D458" s="1"/>
  <c r="E458" s="1"/>
  <c r="F196"/>
  <c r="D328"/>
  <c r="D335"/>
  <c r="E335" s="1"/>
  <c r="F748"/>
  <c r="F747" s="1"/>
  <c r="E747" s="1"/>
  <c r="D847"/>
  <c r="D846" s="1"/>
  <c r="D739"/>
  <c r="D738" s="1"/>
  <c r="D205"/>
  <c r="D473"/>
  <c r="D588"/>
  <c r="F89"/>
  <c r="D303"/>
  <c r="F100"/>
  <c r="H105" i="44" l="1"/>
  <c r="G104"/>
  <c r="H104" s="1"/>
  <c r="D655" i="42"/>
  <c r="G142"/>
  <c r="G141" s="1"/>
  <c r="G140" s="1"/>
  <c r="G139" s="1"/>
  <c r="E470" i="44"/>
  <c r="D469"/>
  <c r="E419"/>
  <c r="D418"/>
  <c r="E462"/>
  <c r="D461"/>
  <c r="E461" s="1"/>
  <c r="H365"/>
  <c r="G352"/>
  <c r="E466" i="42"/>
  <c r="D465"/>
  <c r="E465" s="1"/>
  <c r="D108"/>
  <c r="E422"/>
  <c r="F18" i="44"/>
  <c r="F17" s="1"/>
  <c r="F16" s="1"/>
  <c r="F15" s="1"/>
  <c r="F14" s="1"/>
  <c r="E44"/>
  <c r="F43"/>
  <c r="H418"/>
  <c r="G414"/>
  <c r="H462"/>
  <c r="G461"/>
  <c r="H461" s="1"/>
  <c r="G391" i="42"/>
  <c r="H414" i="44"/>
  <c r="J334" i="42"/>
  <c r="I770"/>
  <c r="J562"/>
  <c r="J561" s="1"/>
  <c r="J560" s="1"/>
  <c r="J821"/>
  <c r="J820" s="1"/>
  <c r="J819" s="1"/>
  <c r="J818" s="1"/>
  <c r="J817" s="1"/>
  <c r="H429" i="44"/>
  <c r="D113"/>
  <c r="G706"/>
  <c r="G673"/>
  <c r="D721"/>
  <c r="D720" s="1"/>
  <c r="D719" s="1"/>
  <c r="D718" s="1"/>
  <c r="J724"/>
  <c r="G678"/>
  <c r="G710"/>
  <c r="H125"/>
  <c r="G124"/>
  <c r="H470"/>
  <c r="G469"/>
  <c r="F821"/>
  <c r="E821" s="1"/>
  <c r="J723"/>
  <c r="J673"/>
  <c r="J672" s="1"/>
  <c r="J671" s="1"/>
  <c r="J705"/>
  <c r="J704" s="1"/>
  <c r="J703" s="1"/>
  <c r="E401"/>
  <c r="F400"/>
  <c r="F399" s="1"/>
  <c r="H114"/>
  <c r="G113"/>
  <c r="D702"/>
  <c r="D669" s="1"/>
  <c r="D724"/>
  <c r="G701"/>
  <c r="G722"/>
  <c r="H479"/>
  <c r="G478"/>
  <c r="H478" s="1"/>
  <c r="H170"/>
  <c r="I169"/>
  <c r="I536"/>
  <c r="I535" s="1"/>
  <c r="H535" s="1"/>
  <c r="E439"/>
  <c r="J185"/>
  <c r="J51"/>
  <c r="J50" s="1"/>
  <c r="J14"/>
  <c r="J13" s="1"/>
  <c r="J12" s="1"/>
  <c r="G692"/>
  <c r="G438"/>
  <c r="G53"/>
  <c r="J499"/>
  <c r="J510"/>
  <c r="J509" s="1"/>
  <c r="E537"/>
  <c r="F536"/>
  <c r="E377"/>
  <c r="F376"/>
  <c r="J425"/>
  <c r="J424" s="1"/>
  <c r="E842"/>
  <c r="D841"/>
  <c r="F266"/>
  <c r="E267"/>
  <c r="I426"/>
  <c r="I425" s="1"/>
  <c r="I424" s="1"/>
  <c r="I423" s="1"/>
  <c r="J184"/>
  <c r="G376"/>
  <c r="G375" s="1"/>
  <c r="D423"/>
  <c r="D375"/>
  <c r="J561"/>
  <c r="J560" s="1"/>
  <c r="J559" s="1"/>
  <c r="J741"/>
  <c r="J153"/>
  <c r="J152" s="1"/>
  <c r="F741"/>
  <c r="H842"/>
  <c r="G841"/>
  <c r="J349"/>
  <c r="H828"/>
  <c r="I827"/>
  <c r="H827" s="1"/>
  <c r="J92"/>
  <c r="J265"/>
  <c r="D53"/>
  <c r="E128"/>
  <c r="D124"/>
  <c r="E738"/>
  <c r="F737"/>
  <c r="F736" s="1"/>
  <c r="E736" s="1"/>
  <c r="E343"/>
  <c r="F342"/>
  <c r="E342" s="1"/>
  <c r="H299"/>
  <c r="H439"/>
  <c r="I694"/>
  <c r="I693" s="1"/>
  <c r="E429"/>
  <c r="F427"/>
  <c r="E427" s="1"/>
  <c r="G320"/>
  <c r="H331"/>
  <c r="I146"/>
  <c r="H833"/>
  <c r="I819"/>
  <c r="H819" s="1"/>
  <c r="H821"/>
  <c r="E17"/>
  <c r="H306"/>
  <c r="I298"/>
  <c r="E834"/>
  <c r="F833"/>
  <c r="E299"/>
  <c r="H695"/>
  <c r="E428"/>
  <c r="H737"/>
  <c r="I730"/>
  <c r="I729" s="1"/>
  <c r="H18"/>
  <c r="I15"/>
  <c r="I14" s="1"/>
  <c r="H14" s="1"/>
  <c r="H713"/>
  <c r="F96"/>
  <c r="E97"/>
  <c r="G424"/>
  <c r="H407"/>
  <c r="G400"/>
  <c r="E711"/>
  <c r="F678"/>
  <c r="E678" s="1"/>
  <c r="D66"/>
  <c r="D65" s="1"/>
  <c r="E75"/>
  <c r="F66"/>
  <c r="E67"/>
  <c r="H733"/>
  <c r="H523"/>
  <c r="G514"/>
  <c r="H515"/>
  <c r="I514"/>
  <c r="I513" s="1"/>
  <c r="H56"/>
  <c r="I55"/>
  <c r="I54" s="1"/>
  <c r="H54" s="1"/>
  <c r="E731"/>
  <c r="F708"/>
  <c r="H16"/>
  <c r="E713"/>
  <c r="D93"/>
  <c r="D13" s="1"/>
  <c r="H97"/>
  <c r="I96"/>
  <c r="H440"/>
  <c r="D400"/>
  <c r="E407"/>
  <c r="I711"/>
  <c r="I710" s="1"/>
  <c r="H734"/>
  <c r="H75"/>
  <c r="G66"/>
  <c r="G65" s="1"/>
  <c r="E601"/>
  <c r="D591"/>
  <c r="D590" s="1"/>
  <c r="E624"/>
  <c r="E636"/>
  <c r="D625"/>
  <c r="E652"/>
  <c r="D651"/>
  <c r="E501"/>
  <c r="F500"/>
  <c r="H574"/>
  <c r="G563"/>
  <c r="G562" s="1"/>
  <c r="E564"/>
  <c r="F563"/>
  <c r="F562" s="1"/>
  <c r="H714"/>
  <c r="E683"/>
  <c r="F682"/>
  <c r="E333"/>
  <c r="F187"/>
  <c r="F186" s="1"/>
  <c r="H447"/>
  <c r="I438"/>
  <c r="E154"/>
  <c r="H273"/>
  <c r="I268"/>
  <c r="I267" s="1"/>
  <c r="H267" s="1"/>
  <c r="E237"/>
  <c r="D224"/>
  <c r="D223" s="1"/>
  <c r="F693"/>
  <c r="F692" s="1"/>
  <c r="H201"/>
  <c r="G192"/>
  <c r="G191" s="1"/>
  <c r="E193"/>
  <c r="F192"/>
  <c r="E455"/>
  <c r="D153"/>
  <c r="H155"/>
  <c r="I153"/>
  <c r="H377"/>
  <c r="I375"/>
  <c r="E352"/>
  <c r="F351"/>
  <c r="F350" s="1"/>
  <c r="F349" s="1"/>
  <c r="I591"/>
  <c r="I224"/>
  <c r="I351"/>
  <c r="I350" s="1"/>
  <c r="I349" s="1"/>
  <c r="F514"/>
  <c r="F513" s="1"/>
  <c r="E515"/>
  <c r="G93"/>
  <c r="G13" s="1"/>
  <c r="E55"/>
  <c r="F53"/>
  <c r="H731"/>
  <c r="I708"/>
  <c r="E16"/>
  <c r="E416"/>
  <c r="F415"/>
  <c r="H67"/>
  <c r="I66"/>
  <c r="F677"/>
  <c r="E677" s="1"/>
  <c r="E710"/>
  <c r="E523"/>
  <c r="D514"/>
  <c r="H601"/>
  <c r="G591"/>
  <c r="G590" s="1"/>
  <c r="E599"/>
  <c r="F591"/>
  <c r="H624"/>
  <c r="E619"/>
  <c r="H636"/>
  <c r="G625"/>
  <c r="G623" s="1"/>
  <c r="I623"/>
  <c r="H652"/>
  <c r="G651"/>
  <c r="H501"/>
  <c r="I500"/>
  <c r="H586"/>
  <c r="E574"/>
  <c r="D563"/>
  <c r="H564"/>
  <c r="I563"/>
  <c r="I562" s="1"/>
  <c r="H741"/>
  <c r="E714"/>
  <c r="H683"/>
  <c r="I682"/>
  <c r="H333"/>
  <c r="I187"/>
  <c r="E438"/>
  <c r="H154"/>
  <c r="I152"/>
  <c r="G140"/>
  <c r="H237"/>
  <c r="G224"/>
  <c r="G223" s="1"/>
  <c r="E233"/>
  <c r="F224"/>
  <c r="E201"/>
  <c r="D192"/>
  <c r="D191" s="1"/>
  <c r="H193"/>
  <c r="I192"/>
  <c r="H455"/>
  <c r="G153"/>
  <c r="E155"/>
  <c r="F153"/>
  <c r="F152" s="1"/>
  <c r="J886"/>
  <c r="F518" i="42"/>
  <c r="F517" s="1"/>
  <c r="F516" s="1"/>
  <c r="F515" s="1"/>
  <c r="F514" s="1"/>
  <c r="F513" s="1"/>
  <c r="J439"/>
  <c r="J438" s="1"/>
  <c r="J612"/>
  <c r="I612"/>
  <c r="I611" s="1"/>
  <c r="I390"/>
  <c r="G248"/>
  <c r="G247" s="1"/>
  <c r="J391"/>
  <c r="J390" s="1"/>
  <c r="E846"/>
  <c r="D845"/>
  <c r="D734"/>
  <c r="D737"/>
  <c r="E738"/>
  <c r="D705"/>
  <c r="D704" s="1"/>
  <c r="D429"/>
  <c r="D428" s="1"/>
  <c r="D443"/>
  <c r="E443" s="1"/>
  <c r="F419"/>
  <c r="E419" s="1"/>
  <c r="P817"/>
  <c r="F57"/>
  <c r="E255"/>
  <c r="P247"/>
  <c r="D58"/>
  <c r="D57" s="1"/>
  <c r="F698"/>
  <c r="F540"/>
  <c r="D723"/>
  <c r="E330"/>
  <c r="E325"/>
  <c r="G591"/>
  <c r="G572" s="1"/>
  <c r="J94"/>
  <c r="J93" s="1"/>
  <c r="G494"/>
  <c r="G493" s="1"/>
  <c r="G492"/>
  <c r="G491" s="1"/>
  <c r="G390" s="1"/>
  <c r="G694"/>
  <c r="G693" s="1"/>
  <c r="G612" s="1"/>
  <c r="G337"/>
  <c r="G336"/>
  <c r="G335" s="1"/>
  <c r="G334" s="1"/>
  <c r="G770"/>
  <c r="E405"/>
  <c r="F404"/>
  <c r="E121"/>
  <c r="D117"/>
  <c r="D674"/>
  <c r="E596"/>
  <c r="F595"/>
  <c r="E506"/>
  <c r="F505"/>
  <c r="F718"/>
  <c r="F717" s="1"/>
  <c r="E719"/>
  <c r="F686"/>
  <c r="E687"/>
  <c r="E486"/>
  <c r="D482"/>
  <c r="E284"/>
  <c r="D279"/>
  <c r="E279" s="1"/>
  <c r="E192"/>
  <c r="F158"/>
  <c r="E165"/>
  <c r="E275"/>
  <c r="F272"/>
  <c r="F823"/>
  <c r="E623"/>
  <c r="G27"/>
  <c r="G26" s="1"/>
  <c r="G25" s="1"/>
  <c r="G24" s="1"/>
  <c r="G10" s="1"/>
  <c r="G198"/>
  <c r="J770"/>
  <c r="I94"/>
  <c r="I93" s="1"/>
  <c r="E414"/>
  <c r="D404"/>
  <c r="D403" s="1"/>
  <c r="E132"/>
  <c r="D128"/>
  <c r="E48"/>
  <c r="F47"/>
  <c r="E23"/>
  <c r="F21"/>
  <c r="F20" s="1"/>
  <c r="E20" s="1"/>
  <c r="E241"/>
  <c r="D228"/>
  <c r="D227" s="1"/>
  <c r="F681"/>
  <c r="E530"/>
  <c r="D518"/>
  <c r="D517" s="1"/>
  <c r="E517" s="1"/>
  <c r="E630"/>
  <c r="F629"/>
  <c r="E590"/>
  <c r="E339"/>
  <c r="F174"/>
  <c r="E175"/>
  <c r="E237"/>
  <c r="F228"/>
  <c r="E391"/>
  <c r="D381"/>
  <c r="D380" s="1"/>
  <c r="E740"/>
  <c r="E433"/>
  <c r="F431"/>
  <c r="F430" s="1"/>
  <c r="F429" s="1"/>
  <c r="E71"/>
  <c r="F70"/>
  <c r="F69" s="1"/>
  <c r="F68" s="1"/>
  <c r="E298"/>
  <c r="G94"/>
  <c r="G93" s="1"/>
  <c r="D97"/>
  <c r="D17" s="1"/>
  <c r="E82"/>
  <c r="D70"/>
  <c r="E735"/>
  <c r="F712"/>
  <c r="E22"/>
  <c r="F19"/>
  <c r="E643"/>
  <c r="D629"/>
  <c r="E568"/>
  <c r="F567"/>
  <c r="E291"/>
  <c r="D286"/>
  <c r="F734"/>
  <c r="F733" s="1"/>
  <c r="F732" s="1"/>
  <c r="F731" s="1"/>
  <c r="F730" s="1"/>
  <c r="E741"/>
  <c r="E310"/>
  <c r="F302"/>
  <c r="E823"/>
  <c r="E832"/>
  <c r="F831"/>
  <c r="F97"/>
  <c r="F96" s="1"/>
  <c r="E96" s="1"/>
  <c r="E100"/>
  <c r="E89"/>
  <c r="E655"/>
  <c r="D654"/>
  <c r="E473"/>
  <c r="D472"/>
  <c r="E739"/>
  <c r="D716"/>
  <c r="D715" s="1"/>
  <c r="E748"/>
  <c r="F746"/>
  <c r="F195"/>
  <c r="E459"/>
  <c r="D157"/>
  <c r="E401"/>
  <c r="D379"/>
  <c r="E382"/>
  <c r="F381"/>
  <c r="F380" s="1"/>
  <c r="F355"/>
  <c r="E303"/>
  <c r="E108"/>
  <c r="D567"/>
  <c r="D566" s="1"/>
  <c r="E588"/>
  <c r="E205"/>
  <c r="D196"/>
  <c r="D195" s="1"/>
  <c r="E847"/>
  <c r="E328"/>
  <c r="D324"/>
  <c r="D323" s="1"/>
  <c r="E323" s="1"/>
  <c r="E159"/>
  <c r="F157"/>
  <c r="E369"/>
  <c r="D356"/>
  <c r="D355" s="1"/>
  <c r="S11"/>
  <c r="E113" i="44" l="1"/>
  <c r="D112"/>
  <c r="E112" s="1"/>
  <c r="E43"/>
  <c r="F42"/>
  <c r="E42" s="1"/>
  <c r="H425"/>
  <c r="E18"/>
  <c r="E469"/>
  <c r="D468"/>
  <c r="E468" s="1"/>
  <c r="G351"/>
  <c r="H351" s="1"/>
  <c r="H352"/>
  <c r="E418"/>
  <c r="D414"/>
  <c r="E430" i="42"/>
  <c r="H536" i="44"/>
  <c r="I818"/>
  <c r="H818" s="1"/>
  <c r="I692"/>
  <c r="H692" s="1"/>
  <c r="H693"/>
  <c r="J670"/>
  <c r="J702"/>
  <c r="G668"/>
  <c r="G700"/>
  <c r="G667" s="1"/>
  <c r="H426"/>
  <c r="D701"/>
  <c r="D722"/>
  <c r="H113"/>
  <c r="G112"/>
  <c r="H112" s="1"/>
  <c r="H469"/>
  <c r="G468"/>
  <c r="H468" s="1"/>
  <c r="H124"/>
  <c r="G123"/>
  <c r="G677"/>
  <c r="G676" s="1"/>
  <c r="H676" s="1"/>
  <c r="G709"/>
  <c r="H709" s="1"/>
  <c r="D693"/>
  <c r="E693" s="1"/>
  <c r="D717"/>
  <c r="J701"/>
  <c r="F426"/>
  <c r="F425" s="1"/>
  <c r="E425" s="1"/>
  <c r="H375"/>
  <c r="J149"/>
  <c r="J148" s="1"/>
  <c r="J423"/>
  <c r="J422" s="1"/>
  <c r="I348"/>
  <c r="I347" s="1"/>
  <c r="I422"/>
  <c r="J558"/>
  <c r="D186"/>
  <c r="D185" s="1"/>
  <c r="D562"/>
  <c r="E562" s="1"/>
  <c r="D513"/>
  <c r="D512" s="1"/>
  <c r="F146"/>
  <c r="G186"/>
  <c r="G185" s="1"/>
  <c r="G184" s="1"/>
  <c r="D589"/>
  <c r="G513"/>
  <c r="G512" s="1"/>
  <c r="I728"/>
  <c r="H729"/>
  <c r="I145"/>
  <c r="I144" s="1"/>
  <c r="J722"/>
  <c r="J740"/>
  <c r="J183"/>
  <c r="J182" s="1"/>
  <c r="F185"/>
  <c r="F265"/>
  <c r="E266"/>
  <c r="D184"/>
  <c r="D183" s="1"/>
  <c r="D190"/>
  <c r="D189" s="1"/>
  <c r="E189" s="1"/>
  <c r="G190"/>
  <c r="G189" s="1"/>
  <c r="H189" s="1"/>
  <c r="H376"/>
  <c r="G423"/>
  <c r="G589"/>
  <c r="G558" s="1"/>
  <c r="G493" s="1"/>
  <c r="G52"/>
  <c r="G64"/>
  <c r="D52"/>
  <c r="D64"/>
  <c r="H320"/>
  <c r="G319"/>
  <c r="H319" s="1"/>
  <c r="J146"/>
  <c r="J348"/>
  <c r="H841"/>
  <c r="G840"/>
  <c r="E741"/>
  <c r="F740"/>
  <c r="E740" s="1"/>
  <c r="D422"/>
  <c r="E841"/>
  <c r="D840"/>
  <c r="F375"/>
  <c r="E375" s="1"/>
  <c r="E376"/>
  <c r="F535"/>
  <c r="E535" s="1"/>
  <c r="E536"/>
  <c r="J497"/>
  <c r="J508"/>
  <c r="G681"/>
  <c r="G809" s="1"/>
  <c r="H809" s="1"/>
  <c r="J10"/>
  <c r="G557"/>
  <c r="G556" s="1"/>
  <c r="G561"/>
  <c r="G560" s="1"/>
  <c r="J151"/>
  <c r="E737"/>
  <c r="F730"/>
  <c r="F729" s="1"/>
  <c r="E124"/>
  <c r="D123"/>
  <c r="H694"/>
  <c r="E833"/>
  <c r="F819"/>
  <c r="H298"/>
  <c r="I186"/>
  <c r="E14"/>
  <c r="H15"/>
  <c r="H730"/>
  <c r="I707"/>
  <c r="I706" s="1"/>
  <c r="E15"/>
  <c r="I499"/>
  <c r="E153"/>
  <c r="F151"/>
  <c r="G453"/>
  <c r="G151"/>
  <c r="G139" s="1"/>
  <c r="G138" s="1"/>
  <c r="H192"/>
  <c r="I191"/>
  <c r="H562"/>
  <c r="H651"/>
  <c r="G650"/>
  <c r="H623"/>
  <c r="E591"/>
  <c r="F590"/>
  <c r="F589" s="1"/>
  <c r="H66"/>
  <c r="I65"/>
  <c r="I64" s="1"/>
  <c r="H64" s="1"/>
  <c r="F414"/>
  <c r="E415"/>
  <c r="H708"/>
  <c r="I675"/>
  <c r="H675" s="1"/>
  <c r="E53"/>
  <c r="H224"/>
  <c r="I223"/>
  <c r="H682"/>
  <c r="I681"/>
  <c r="I680" s="1"/>
  <c r="H680" s="1"/>
  <c r="H563"/>
  <c r="I561"/>
  <c r="F499"/>
  <c r="E514"/>
  <c r="F512"/>
  <c r="F511" s="1"/>
  <c r="H591"/>
  <c r="I590"/>
  <c r="I589" s="1"/>
  <c r="E351"/>
  <c r="H153"/>
  <c r="I151"/>
  <c r="D151"/>
  <c r="D139" s="1"/>
  <c r="D138" s="1"/>
  <c r="D453"/>
  <c r="E192"/>
  <c r="F191"/>
  <c r="H268"/>
  <c r="I266"/>
  <c r="I265" s="1"/>
  <c r="H265" s="1"/>
  <c r="E152"/>
  <c r="H438"/>
  <c r="I421"/>
  <c r="E187"/>
  <c r="F681"/>
  <c r="F680" s="1"/>
  <c r="E680" s="1"/>
  <c r="E682"/>
  <c r="E563"/>
  <c r="F561"/>
  <c r="E500"/>
  <c r="E651"/>
  <c r="D650"/>
  <c r="D623"/>
  <c r="E625"/>
  <c r="H96"/>
  <c r="I93"/>
  <c r="I92" s="1"/>
  <c r="H92" s="1"/>
  <c r="E708"/>
  <c r="F675"/>
  <c r="E675" s="1"/>
  <c r="H55"/>
  <c r="I53"/>
  <c r="H514"/>
  <c r="I512"/>
  <c r="I511" s="1"/>
  <c r="H710"/>
  <c r="G399"/>
  <c r="H400"/>
  <c r="H625"/>
  <c r="E224"/>
  <c r="F223"/>
  <c r="H152"/>
  <c r="H187"/>
  <c r="H500"/>
  <c r="H711"/>
  <c r="I678"/>
  <c r="H678" s="1"/>
  <c r="E400"/>
  <c r="D399"/>
  <c r="E66"/>
  <c r="F65"/>
  <c r="F64" s="1"/>
  <c r="H424"/>
  <c r="I149"/>
  <c r="I148" s="1"/>
  <c r="E96"/>
  <c r="F93"/>
  <c r="F92" s="1"/>
  <c r="E92" s="1"/>
  <c r="E58" i="42"/>
  <c r="J611"/>
  <c r="G611"/>
  <c r="I5"/>
  <c r="E429"/>
  <c r="E715"/>
  <c r="F512"/>
  <c r="D190"/>
  <c r="P334"/>
  <c r="E380"/>
  <c r="F729"/>
  <c r="E730"/>
  <c r="E272"/>
  <c r="F271"/>
  <c r="E271" s="1"/>
  <c r="F745"/>
  <c r="P560"/>
  <c r="F566"/>
  <c r="F565" s="1"/>
  <c r="F628"/>
  <c r="E628" s="1"/>
  <c r="D698"/>
  <c r="E698" s="1"/>
  <c r="D722"/>
  <c r="E57"/>
  <c r="D714"/>
  <c r="E737"/>
  <c r="D736"/>
  <c r="E736" s="1"/>
  <c r="D194"/>
  <c r="D193" s="1"/>
  <c r="E193" s="1"/>
  <c r="F428"/>
  <c r="F427" s="1"/>
  <c r="F426" s="1"/>
  <c r="F425" s="1"/>
  <c r="F418"/>
  <c r="E418" s="1"/>
  <c r="E731"/>
  <c r="D354"/>
  <c r="D353" s="1"/>
  <c r="D673"/>
  <c r="D672" s="1"/>
  <c r="D671" s="1"/>
  <c r="E540"/>
  <c r="F539"/>
  <c r="E539" s="1"/>
  <c r="D427"/>
  <c r="D426" s="1"/>
  <c r="D442"/>
  <c r="E442" s="1"/>
  <c r="D703"/>
  <c r="D711"/>
  <c r="D733"/>
  <c r="E733" s="1"/>
  <c r="E845"/>
  <c r="D844"/>
  <c r="E732"/>
  <c r="I879"/>
  <c r="I890" s="1"/>
  <c r="E21"/>
  <c r="F18"/>
  <c r="F17" s="1"/>
  <c r="E47"/>
  <c r="F46"/>
  <c r="E128"/>
  <c r="D127"/>
  <c r="E127" s="1"/>
  <c r="E158"/>
  <c r="F156"/>
  <c r="E156" s="1"/>
  <c r="E686"/>
  <c r="F685"/>
  <c r="F684" s="1"/>
  <c r="E684" s="1"/>
  <c r="E505"/>
  <c r="F504"/>
  <c r="F503" s="1"/>
  <c r="F594"/>
  <c r="F593" s="1"/>
  <c r="E595"/>
  <c r="E117"/>
  <c r="D116"/>
  <c r="F403"/>
  <c r="E404"/>
  <c r="F270"/>
  <c r="F269" s="1"/>
  <c r="E269" s="1"/>
  <c r="E482"/>
  <c r="E718"/>
  <c r="F227"/>
  <c r="E228"/>
  <c r="E337"/>
  <c r="F191"/>
  <c r="F190" s="1"/>
  <c r="F189" s="1"/>
  <c r="G879"/>
  <c r="E174"/>
  <c r="F173"/>
  <c r="E518"/>
  <c r="D516"/>
  <c r="D515" s="1"/>
  <c r="D503" s="1"/>
  <c r="E286"/>
  <c r="D270"/>
  <c r="D627"/>
  <c r="E629"/>
  <c r="J879"/>
  <c r="J890" s="1"/>
  <c r="J5"/>
  <c r="E19"/>
  <c r="F12"/>
  <c r="E712"/>
  <c r="F679"/>
  <c r="E70"/>
  <c r="D69"/>
  <c r="E431"/>
  <c r="E717"/>
  <c r="E302"/>
  <c r="E734"/>
  <c r="F711"/>
  <c r="F710" s="1"/>
  <c r="F709" s="1"/>
  <c r="F708" s="1"/>
  <c r="F707" s="1"/>
  <c r="E831"/>
  <c r="F822"/>
  <c r="E157"/>
  <c r="E324"/>
  <c r="D565"/>
  <c r="D564" s="1"/>
  <c r="E567"/>
  <c r="E355"/>
  <c r="F379"/>
  <c r="E379" s="1"/>
  <c r="E381"/>
  <c r="D155"/>
  <c r="D154" s="1"/>
  <c r="E154" s="1"/>
  <c r="D457"/>
  <c r="E195"/>
  <c r="E716"/>
  <c r="D683"/>
  <c r="D682" s="1"/>
  <c r="E682" s="1"/>
  <c r="E472"/>
  <c r="D143"/>
  <c r="E654"/>
  <c r="D653"/>
  <c r="D822"/>
  <c r="D12"/>
  <c r="F56"/>
  <c r="F55" s="1"/>
  <c r="E97"/>
  <c r="E356"/>
  <c r="E196"/>
  <c r="E426" i="44" l="1"/>
  <c r="G699"/>
  <c r="G698" s="1"/>
  <c r="J669"/>
  <c r="E64"/>
  <c r="E190"/>
  <c r="J668"/>
  <c r="H589"/>
  <c r="E589"/>
  <c r="F424"/>
  <c r="F423" s="1"/>
  <c r="F422" s="1"/>
  <c r="H123"/>
  <c r="G103"/>
  <c r="H190"/>
  <c r="J700"/>
  <c r="J667" s="1"/>
  <c r="D692"/>
  <c r="G666"/>
  <c r="D668"/>
  <c r="D700"/>
  <c r="J699"/>
  <c r="J666" s="1"/>
  <c r="J663" s="1"/>
  <c r="J662" s="1"/>
  <c r="J661" s="1"/>
  <c r="E186"/>
  <c r="I705"/>
  <c r="H706"/>
  <c r="D182"/>
  <c r="D169" s="1"/>
  <c r="E169" s="1"/>
  <c r="G183"/>
  <c r="J421"/>
  <c r="F145"/>
  <c r="E423"/>
  <c r="E819"/>
  <c r="F818"/>
  <c r="E818" s="1"/>
  <c r="F728"/>
  <c r="E729"/>
  <c r="E840"/>
  <c r="D839"/>
  <c r="E839" s="1"/>
  <c r="D141"/>
  <c r="D421"/>
  <c r="H840"/>
  <c r="G839"/>
  <c r="H839" s="1"/>
  <c r="J347"/>
  <c r="G422"/>
  <c r="E265"/>
  <c r="I143"/>
  <c r="D150"/>
  <c r="G150"/>
  <c r="G555"/>
  <c r="J496"/>
  <c r="J495" s="1"/>
  <c r="J494" s="1"/>
  <c r="J492" s="1"/>
  <c r="H513"/>
  <c r="J721"/>
  <c r="D561"/>
  <c r="E561" s="1"/>
  <c r="H423"/>
  <c r="D12"/>
  <c r="D11" s="1"/>
  <c r="E11" s="1"/>
  <c r="D51"/>
  <c r="G12"/>
  <c r="G11" s="1"/>
  <c r="H11" s="1"/>
  <c r="G51"/>
  <c r="G50" s="1"/>
  <c r="E185"/>
  <c r="H728"/>
  <c r="I727"/>
  <c r="D511"/>
  <c r="D499" s="1"/>
  <c r="E499" s="1"/>
  <c r="E513"/>
  <c r="J557"/>
  <c r="J556" s="1"/>
  <c r="I677"/>
  <c r="H677" s="1"/>
  <c r="G511"/>
  <c r="G499" s="1"/>
  <c r="H499" s="1"/>
  <c r="G137"/>
  <c r="G136" s="1"/>
  <c r="D137"/>
  <c r="D136" s="1"/>
  <c r="D135" s="1"/>
  <c r="D134" s="1"/>
  <c r="J145"/>
  <c r="J144" s="1"/>
  <c r="J143" s="1"/>
  <c r="J142" s="1"/>
  <c r="J141" s="1"/>
  <c r="J139" s="1"/>
  <c r="J138" s="1"/>
  <c r="J137" s="1"/>
  <c r="J136" s="1"/>
  <c r="E123"/>
  <c r="D103"/>
  <c r="D102" s="1"/>
  <c r="E102" s="1"/>
  <c r="F707"/>
  <c r="F706" s="1"/>
  <c r="E730"/>
  <c r="H186"/>
  <c r="F149"/>
  <c r="F148" s="1"/>
  <c r="E424"/>
  <c r="H707"/>
  <c r="I674"/>
  <c r="I673" s="1"/>
  <c r="I498"/>
  <c r="I497" s="1"/>
  <c r="H512"/>
  <c r="I510"/>
  <c r="H53"/>
  <c r="H93"/>
  <c r="I13"/>
  <c r="E650"/>
  <c r="D649"/>
  <c r="H266"/>
  <c r="I185"/>
  <c r="E191"/>
  <c r="E453"/>
  <c r="H151"/>
  <c r="H590"/>
  <c r="I560"/>
  <c r="I559" s="1"/>
  <c r="E512"/>
  <c r="F510"/>
  <c r="F498"/>
  <c r="F497" s="1"/>
  <c r="H561"/>
  <c r="H681"/>
  <c r="H223"/>
  <c r="I184"/>
  <c r="H65"/>
  <c r="I52"/>
  <c r="I51" s="1"/>
  <c r="E590"/>
  <c r="F560"/>
  <c r="F559" s="1"/>
  <c r="H650"/>
  <c r="G649"/>
  <c r="H191"/>
  <c r="I183"/>
  <c r="I182" s="1"/>
  <c r="E151"/>
  <c r="E93"/>
  <c r="F13"/>
  <c r="E65"/>
  <c r="F52"/>
  <c r="F51" s="1"/>
  <c r="D350"/>
  <c r="D349" s="1"/>
  <c r="E399"/>
  <c r="E223"/>
  <c r="F184"/>
  <c r="F183" s="1"/>
  <c r="F182" s="1"/>
  <c r="G350"/>
  <c r="G349" s="1"/>
  <c r="H399"/>
  <c r="D557"/>
  <c r="E623"/>
  <c r="E414"/>
  <c r="F348"/>
  <c r="F347" s="1"/>
  <c r="H453"/>
  <c r="F155" i="42"/>
  <c r="E194"/>
  <c r="E566"/>
  <c r="E427"/>
  <c r="E426"/>
  <c r="F627"/>
  <c r="E627" s="1"/>
  <c r="E822"/>
  <c r="E515"/>
  <c r="E708"/>
  <c r="E709"/>
  <c r="E707"/>
  <c r="D352"/>
  <c r="F54"/>
  <c r="F14" s="1"/>
  <c r="D56"/>
  <c r="E56" s="1"/>
  <c r="D68"/>
  <c r="E68" s="1"/>
  <c r="E504"/>
  <c r="F502"/>
  <c r="F501" s="1"/>
  <c r="P10"/>
  <c r="K18"/>
  <c r="E844"/>
  <c r="D843"/>
  <c r="E843" s="1"/>
  <c r="D670"/>
  <c r="D702"/>
  <c r="D697"/>
  <c r="D721"/>
  <c r="F706"/>
  <c r="F728"/>
  <c r="E729"/>
  <c r="E428"/>
  <c r="E593"/>
  <c r="D145"/>
  <c r="D425"/>
  <c r="E425" s="1"/>
  <c r="D678"/>
  <c r="D710"/>
  <c r="D681"/>
  <c r="D713"/>
  <c r="E713" s="1"/>
  <c r="E714"/>
  <c r="F744"/>
  <c r="E744" s="1"/>
  <c r="E745"/>
  <c r="D142"/>
  <c r="D153"/>
  <c r="E153" s="1"/>
  <c r="F354"/>
  <c r="F353" s="1"/>
  <c r="E403"/>
  <c r="F564"/>
  <c r="F563" s="1"/>
  <c r="E563" s="1"/>
  <c r="E594"/>
  <c r="E270"/>
  <c r="E116"/>
  <c r="D107"/>
  <c r="D106" s="1"/>
  <c r="E106" s="1"/>
  <c r="E46"/>
  <c r="E18"/>
  <c r="F11"/>
  <c r="F188"/>
  <c r="E227"/>
  <c r="E69"/>
  <c r="E503"/>
  <c r="D514"/>
  <c r="D513" s="1"/>
  <c r="E516"/>
  <c r="E191"/>
  <c r="D561"/>
  <c r="E679"/>
  <c r="D189"/>
  <c r="E711"/>
  <c r="F678"/>
  <c r="F677" s="1"/>
  <c r="F676" s="1"/>
  <c r="E190"/>
  <c r="E12"/>
  <c r="E653"/>
  <c r="E683"/>
  <c r="E565"/>
  <c r="E155"/>
  <c r="E17"/>
  <c r="F16"/>
  <c r="E457"/>
  <c r="J493" i="44" l="1"/>
  <c r="E182"/>
  <c r="D667"/>
  <c r="D699"/>
  <c r="D681"/>
  <c r="E681" s="1"/>
  <c r="E692"/>
  <c r="G665"/>
  <c r="G663" s="1"/>
  <c r="G662" s="1"/>
  <c r="G661" s="1"/>
  <c r="G660" s="1"/>
  <c r="G659" s="1"/>
  <c r="H103"/>
  <c r="G102"/>
  <c r="H102" s="1"/>
  <c r="G510"/>
  <c r="J135"/>
  <c r="J134"/>
  <c r="J133" s="1"/>
  <c r="J132" s="1"/>
  <c r="G348"/>
  <c r="H349"/>
  <c r="E51"/>
  <c r="F50"/>
  <c r="F558"/>
  <c r="E559"/>
  <c r="H51"/>
  <c r="I50"/>
  <c r="F509"/>
  <c r="I558"/>
  <c r="H559"/>
  <c r="H510"/>
  <c r="I509"/>
  <c r="I496"/>
  <c r="I495" s="1"/>
  <c r="I494" s="1"/>
  <c r="I672"/>
  <c r="H673"/>
  <c r="J491"/>
  <c r="J555"/>
  <c r="H727"/>
  <c r="I726"/>
  <c r="D50"/>
  <c r="D560"/>
  <c r="J698"/>
  <c r="J720"/>
  <c r="J719" s="1"/>
  <c r="J718" s="1"/>
  <c r="H150"/>
  <c r="G149"/>
  <c r="H149" s="1"/>
  <c r="G141"/>
  <c r="G421"/>
  <c r="H421" s="1"/>
  <c r="H422"/>
  <c r="E422"/>
  <c r="F421"/>
  <c r="E421" s="1"/>
  <c r="H705"/>
  <c r="I704"/>
  <c r="D556"/>
  <c r="H511"/>
  <c r="E511"/>
  <c r="D348"/>
  <c r="E349"/>
  <c r="F496"/>
  <c r="F495" s="1"/>
  <c r="F494" s="1"/>
  <c r="F705"/>
  <c r="E706"/>
  <c r="G550"/>
  <c r="H550" s="1"/>
  <c r="E150"/>
  <c r="D149"/>
  <c r="E149" s="1"/>
  <c r="H143"/>
  <c r="I142"/>
  <c r="E728"/>
  <c r="F727"/>
  <c r="G135"/>
  <c r="G134" s="1"/>
  <c r="G182"/>
  <c r="H182" s="1"/>
  <c r="G498"/>
  <c r="H498" s="1"/>
  <c r="G509"/>
  <c r="D510"/>
  <c r="J140"/>
  <c r="F674"/>
  <c r="E707"/>
  <c r="E103"/>
  <c r="D10"/>
  <c r="H674"/>
  <c r="E348"/>
  <c r="F144"/>
  <c r="F143" s="1"/>
  <c r="E184"/>
  <c r="F12"/>
  <c r="E52"/>
  <c r="E13"/>
  <c r="H560"/>
  <c r="E183"/>
  <c r="H185"/>
  <c r="E649"/>
  <c r="D492"/>
  <c r="H13"/>
  <c r="G148"/>
  <c r="G147" s="1"/>
  <c r="H147" s="1"/>
  <c r="H350"/>
  <c r="D148"/>
  <c r="D147" s="1"/>
  <c r="E147" s="1"/>
  <c r="E350"/>
  <c r="H183"/>
  <c r="H649"/>
  <c r="G492"/>
  <c r="G491" s="1"/>
  <c r="G490" s="1"/>
  <c r="E560"/>
  <c r="H52"/>
  <c r="I12"/>
  <c r="H184"/>
  <c r="D696" i="42"/>
  <c r="D685" s="1"/>
  <c r="D669"/>
  <c r="D667" s="1"/>
  <c r="D666" s="1"/>
  <c r="D665" s="1"/>
  <c r="D664" s="1"/>
  <c r="D663" s="1"/>
  <c r="F562"/>
  <c r="D141"/>
  <c r="D140" s="1"/>
  <c r="D188"/>
  <c r="D560"/>
  <c r="D512"/>
  <c r="E513"/>
  <c r="E11"/>
  <c r="F10"/>
  <c r="D680"/>
  <c r="E680" s="1"/>
  <c r="E681"/>
  <c r="E728"/>
  <c r="F727"/>
  <c r="F500"/>
  <c r="F499" s="1"/>
  <c r="F498" s="1"/>
  <c r="D152"/>
  <c r="D151" s="1"/>
  <c r="E676"/>
  <c r="F675"/>
  <c r="F187"/>
  <c r="E353"/>
  <c r="F352"/>
  <c r="D677"/>
  <c r="E677" s="1"/>
  <c r="E710"/>
  <c r="F705"/>
  <c r="E706"/>
  <c r="D16"/>
  <c r="E16" s="1"/>
  <c r="D55"/>
  <c r="D351"/>
  <c r="D13"/>
  <c r="D14"/>
  <c r="E14" s="1"/>
  <c r="E107"/>
  <c r="E564"/>
  <c r="E354"/>
  <c r="D496"/>
  <c r="D502"/>
  <c r="D501" s="1"/>
  <c r="E501" s="1"/>
  <c r="E514"/>
  <c r="E189"/>
  <c r="E678"/>
  <c r="D666" i="44" l="1"/>
  <c r="D698"/>
  <c r="D491"/>
  <c r="F492"/>
  <c r="F491" s="1"/>
  <c r="F493"/>
  <c r="E493" s="1"/>
  <c r="E494"/>
  <c r="E143"/>
  <c r="F142"/>
  <c r="G497"/>
  <c r="H497" s="1"/>
  <c r="G508"/>
  <c r="G169"/>
  <c r="H169" s="1"/>
  <c r="E727"/>
  <c r="F726"/>
  <c r="I141"/>
  <c r="H142"/>
  <c r="J693"/>
  <c r="J660" s="1"/>
  <c r="J717"/>
  <c r="I725"/>
  <c r="H726"/>
  <c r="I508"/>
  <c r="H508" s="1"/>
  <c r="H509"/>
  <c r="F508"/>
  <c r="H50"/>
  <c r="I10"/>
  <c r="H10" s="1"/>
  <c r="F10"/>
  <c r="E10" s="1"/>
  <c r="E50"/>
  <c r="D146"/>
  <c r="J490"/>
  <c r="G146"/>
  <c r="I493"/>
  <c r="H493" s="1"/>
  <c r="I492"/>
  <c r="I491" s="1"/>
  <c r="I490" s="1"/>
  <c r="H490" s="1"/>
  <c r="H494"/>
  <c r="E674"/>
  <c r="F673"/>
  <c r="D498"/>
  <c r="E498" s="1"/>
  <c r="D509"/>
  <c r="E705"/>
  <c r="F704"/>
  <c r="D347"/>
  <c r="H704"/>
  <c r="I703"/>
  <c r="J665"/>
  <c r="J697"/>
  <c r="H672"/>
  <c r="I671"/>
  <c r="I557"/>
  <c r="H558"/>
  <c r="F557"/>
  <c r="E558"/>
  <c r="G347"/>
  <c r="H348"/>
  <c r="D555"/>
  <c r="E510"/>
  <c r="H12"/>
  <c r="E148"/>
  <c r="H148"/>
  <c r="E12"/>
  <c r="E562" i="42"/>
  <c r="F561"/>
  <c r="E498"/>
  <c r="F497"/>
  <c r="F496"/>
  <c r="D54"/>
  <c r="E55"/>
  <c r="F186"/>
  <c r="E675"/>
  <c r="F674"/>
  <c r="E151"/>
  <c r="D150"/>
  <c r="D149" s="1"/>
  <c r="D148" s="1"/>
  <c r="D500"/>
  <c r="D499" s="1"/>
  <c r="E499" s="1"/>
  <c r="E512"/>
  <c r="D559"/>
  <c r="D187"/>
  <c r="E187" s="1"/>
  <c r="E188"/>
  <c r="D495"/>
  <c r="D15"/>
  <c r="E15" s="1"/>
  <c r="E705"/>
  <c r="F704"/>
  <c r="F351"/>
  <c r="E351" s="1"/>
  <c r="E352"/>
  <c r="D813"/>
  <c r="E813" s="1"/>
  <c r="E685"/>
  <c r="F726"/>
  <c r="E727"/>
  <c r="E500"/>
  <c r="E13"/>
  <c r="E152"/>
  <c r="E502"/>
  <c r="E492" i="44" l="1"/>
  <c r="D665"/>
  <c r="D663" s="1"/>
  <c r="D662" s="1"/>
  <c r="D661" s="1"/>
  <c r="D660" s="1"/>
  <c r="D659" s="1"/>
  <c r="H492"/>
  <c r="J664"/>
  <c r="H491"/>
  <c r="D490"/>
  <c r="D550"/>
  <c r="E550" s="1"/>
  <c r="D133"/>
  <c r="D132" s="1"/>
  <c r="E347"/>
  <c r="E704"/>
  <c r="F703"/>
  <c r="D497"/>
  <c r="E497" s="1"/>
  <c r="D508"/>
  <c r="F556"/>
  <c r="E557"/>
  <c r="H557"/>
  <c r="I556"/>
  <c r="H146"/>
  <c r="G145"/>
  <c r="D145"/>
  <c r="E146"/>
  <c r="F725"/>
  <c r="E726"/>
  <c r="F141"/>
  <c r="E142"/>
  <c r="E491"/>
  <c r="F490"/>
  <c r="E509"/>
  <c r="J692"/>
  <c r="J659" s="1"/>
  <c r="G496"/>
  <c r="G133"/>
  <c r="G132" s="1"/>
  <c r="H347"/>
  <c r="H671"/>
  <c r="I670"/>
  <c r="I702"/>
  <c r="H703"/>
  <c r="F672"/>
  <c r="E673"/>
  <c r="H725"/>
  <c r="I724"/>
  <c r="I139"/>
  <c r="I140"/>
  <c r="H140" s="1"/>
  <c r="H141"/>
  <c r="F560" i="42"/>
  <c r="E561"/>
  <c r="E150"/>
  <c r="F703"/>
  <c r="E704"/>
  <c r="F725"/>
  <c r="E726"/>
  <c r="E674"/>
  <c r="F673"/>
  <c r="F495"/>
  <c r="F494" s="1"/>
  <c r="E496"/>
  <c r="E149"/>
  <c r="D494"/>
  <c r="D139"/>
  <c r="D186"/>
  <c r="E186" s="1"/>
  <c r="D554"/>
  <c r="E554" s="1"/>
  <c r="D10"/>
  <c r="E10" s="1"/>
  <c r="E54"/>
  <c r="P390"/>
  <c r="E497"/>
  <c r="E495" l="1"/>
  <c r="E490" i="44"/>
  <c r="D496"/>
  <c r="I138"/>
  <c r="H139"/>
  <c r="E672"/>
  <c r="F671"/>
  <c r="H702"/>
  <c r="I701"/>
  <c r="H145"/>
  <c r="G144"/>
  <c r="H144" s="1"/>
  <c r="H556"/>
  <c r="I555"/>
  <c r="H555" s="1"/>
  <c r="E496"/>
  <c r="D495"/>
  <c r="E495" s="1"/>
  <c r="F702"/>
  <c r="E703"/>
  <c r="I723"/>
  <c r="H724"/>
  <c r="H670"/>
  <c r="I669"/>
  <c r="G495"/>
  <c r="H495" s="1"/>
  <c r="H496"/>
  <c r="E141"/>
  <c r="F140"/>
  <c r="E140" s="1"/>
  <c r="F139"/>
  <c r="F724"/>
  <c r="E725"/>
  <c r="E145"/>
  <c r="D144"/>
  <c r="E144" s="1"/>
  <c r="E556"/>
  <c r="F555"/>
  <c r="E555" s="1"/>
  <c r="E508"/>
  <c r="G875"/>
  <c r="D875"/>
  <c r="F559" i="42"/>
  <c r="E559" s="1"/>
  <c r="E560"/>
  <c r="D138"/>
  <c r="E494"/>
  <c r="F672"/>
  <c r="E673"/>
  <c r="Q770"/>
  <c r="D173"/>
  <c r="E173" s="1"/>
  <c r="E148"/>
  <c r="F724"/>
  <c r="E725"/>
  <c r="F702"/>
  <c r="E703"/>
  <c r="Q10"/>
  <c r="E724" i="44" l="1"/>
  <c r="F723"/>
  <c r="H669"/>
  <c r="I668"/>
  <c r="I700"/>
  <c r="H701"/>
  <c r="E671"/>
  <c r="F670"/>
  <c r="F138"/>
  <c r="E139"/>
  <c r="H723"/>
  <c r="I722"/>
  <c r="F701"/>
  <c r="E701" s="1"/>
  <c r="E702"/>
  <c r="H138"/>
  <c r="I137"/>
  <c r="F875"/>
  <c r="D137" i="42"/>
  <c r="F701"/>
  <c r="E701" s="1"/>
  <c r="E702"/>
  <c r="F723"/>
  <c r="E724"/>
  <c r="E147"/>
  <c r="E672"/>
  <c r="F671"/>
  <c r="Q334"/>
  <c r="D879"/>
  <c r="I136" i="44" l="1"/>
  <c r="H137"/>
  <c r="I721"/>
  <c r="H722"/>
  <c r="E670"/>
  <c r="F669"/>
  <c r="H668"/>
  <c r="I667"/>
  <c r="F700"/>
  <c r="F722"/>
  <c r="E723"/>
  <c r="E138"/>
  <c r="F137"/>
  <c r="H700"/>
  <c r="I699"/>
  <c r="I886"/>
  <c r="E875"/>
  <c r="F886"/>
  <c r="F722" i="42"/>
  <c r="E723"/>
  <c r="F670"/>
  <c r="E671"/>
  <c r="E146"/>
  <c r="D136"/>
  <c r="E722" i="44" l="1"/>
  <c r="F721"/>
  <c r="I698"/>
  <c r="H699"/>
  <c r="E137"/>
  <c r="F136"/>
  <c r="F699"/>
  <c r="E700"/>
  <c r="I720"/>
  <c r="H721"/>
  <c r="I134"/>
  <c r="I135"/>
  <c r="H135" s="1"/>
  <c r="H136"/>
  <c r="H667"/>
  <c r="I666"/>
  <c r="E669"/>
  <c r="F668"/>
  <c r="P139" i="42"/>
  <c r="E145"/>
  <c r="F669"/>
  <c r="F667"/>
  <c r="E670"/>
  <c r="F697"/>
  <c r="F721"/>
  <c r="E721" s="1"/>
  <c r="E722"/>
  <c r="F134" i="44" l="1"/>
  <c r="F135"/>
  <c r="E135" s="1"/>
  <c r="E136"/>
  <c r="F720"/>
  <c r="E721"/>
  <c r="E668"/>
  <c r="F667"/>
  <c r="I665"/>
  <c r="I663"/>
  <c r="H666"/>
  <c r="I133"/>
  <c r="H134"/>
  <c r="I719"/>
  <c r="H720"/>
  <c r="E699"/>
  <c r="F698"/>
  <c r="I697"/>
  <c r="H697" s="1"/>
  <c r="H698"/>
  <c r="E697" i="42"/>
  <c r="F696"/>
  <c r="E696" s="1"/>
  <c r="F666"/>
  <c r="E667"/>
  <c r="E143"/>
  <c r="E144"/>
  <c r="F668"/>
  <c r="E668" s="1"/>
  <c r="E669"/>
  <c r="F697" i="44" l="1"/>
  <c r="E697" s="1"/>
  <c r="E698"/>
  <c r="I664"/>
  <c r="H664" s="1"/>
  <c r="H665"/>
  <c r="E720"/>
  <c r="F719"/>
  <c r="I718"/>
  <c r="H719"/>
  <c r="I132"/>
  <c r="H132" s="1"/>
  <c r="H133"/>
  <c r="I662"/>
  <c r="H663"/>
  <c r="F666"/>
  <c r="E667"/>
  <c r="F133"/>
  <c r="E134"/>
  <c r="E142" i="42"/>
  <c r="E666"/>
  <c r="F665"/>
  <c r="E719" i="44" l="1"/>
  <c r="F718"/>
  <c r="F132"/>
  <c r="E133"/>
  <c r="E666"/>
  <c r="F665"/>
  <c r="F663"/>
  <c r="I661"/>
  <c r="H662"/>
  <c r="H718"/>
  <c r="I717"/>
  <c r="H717" s="1"/>
  <c r="E665" i="42"/>
  <c r="F664"/>
  <c r="E141"/>
  <c r="H661" i="44" l="1"/>
  <c r="I660"/>
  <c r="F664"/>
  <c r="E664" s="1"/>
  <c r="E665"/>
  <c r="F717"/>
  <c r="E717" s="1"/>
  <c r="E718"/>
  <c r="F662"/>
  <c r="E663"/>
  <c r="E132"/>
  <c r="E139" i="42"/>
  <c r="E140"/>
  <c r="E664"/>
  <c r="F663"/>
  <c r="E662" i="44" l="1"/>
  <c r="F661"/>
  <c r="H660"/>
  <c r="I659"/>
  <c r="H659" s="1"/>
  <c r="E663" i="42"/>
  <c r="P612"/>
  <c r="Q612" s="1"/>
  <c r="P626"/>
  <c r="E138"/>
  <c r="E661" i="44" l="1"/>
  <c r="F660"/>
  <c r="P95" i="42"/>
  <c r="Q95" s="1"/>
  <c r="E137"/>
  <c r="E660" i="44" l="1"/>
  <c r="F659"/>
  <c r="E136" i="42"/>
  <c r="E659" i="44" l="1"/>
  <c r="F5"/>
  <c r="E477" i="34" l="1"/>
  <c r="F477" s="1"/>
  <c r="E39"/>
  <c r="F39" s="1"/>
  <c r="H38"/>
  <c r="H37" s="1"/>
  <c r="H36" s="1"/>
  <c r="G38"/>
  <c r="D38"/>
  <c r="D37" s="1"/>
  <c r="G37"/>
  <c r="G36" s="1"/>
  <c r="F150"/>
  <c r="F149"/>
  <c r="H148"/>
  <c r="G148"/>
  <c r="E148"/>
  <c r="D148"/>
  <c r="F147"/>
  <c r="H146"/>
  <c r="H142" s="1"/>
  <c r="G146"/>
  <c r="E146"/>
  <c r="D146"/>
  <c r="F145"/>
  <c r="F144"/>
  <c r="H143"/>
  <c r="G143"/>
  <c r="E143"/>
  <c r="E142" s="1"/>
  <c r="D143"/>
  <c r="D142" s="1"/>
  <c r="F225"/>
  <c r="H224"/>
  <c r="G224"/>
  <c r="E224"/>
  <c r="D224"/>
  <c r="H238"/>
  <c r="H237" s="1"/>
  <c r="G238"/>
  <c r="F238" s="1"/>
  <c r="D238"/>
  <c r="D237" s="1"/>
  <c r="E237"/>
  <c r="F234"/>
  <c r="H233"/>
  <c r="G233"/>
  <c r="E233"/>
  <c r="D233"/>
  <c r="F232"/>
  <c r="H231"/>
  <c r="G231"/>
  <c r="E231"/>
  <c r="D231"/>
  <c r="E223"/>
  <c r="F223" s="1"/>
  <c r="H222"/>
  <c r="G222"/>
  <c r="G221" s="1"/>
  <c r="D222"/>
  <c r="D221" s="1"/>
  <c r="F430"/>
  <c r="F429"/>
  <c r="H428"/>
  <c r="G428"/>
  <c r="F428" s="1"/>
  <c r="D428"/>
  <c r="F215"/>
  <c r="H214"/>
  <c r="G214"/>
  <c r="F214" s="1"/>
  <c r="D214"/>
  <c r="D212" s="1"/>
  <c r="F213"/>
  <c r="H212"/>
  <c r="G212"/>
  <c r="E212"/>
  <c r="H211"/>
  <c r="G211"/>
  <c r="F211" s="1"/>
  <c r="D211"/>
  <c r="H210"/>
  <c r="G210"/>
  <c r="D210"/>
  <c r="E209"/>
  <c r="F167"/>
  <c r="H166"/>
  <c r="H165" s="1"/>
  <c r="G166"/>
  <c r="E166"/>
  <c r="D166"/>
  <c r="G165"/>
  <c r="F17"/>
  <c r="H16"/>
  <c r="G16"/>
  <c r="F16" s="1"/>
  <c r="D16"/>
  <c r="F13"/>
  <c r="F12"/>
  <c r="F427"/>
  <c r="F426"/>
  <c r="H425"/>
  <c r="G425"/>
  <c r="F425" s="1"/>
  <c r="D425"/>
  <c r="H33"/>
  <c r="H32" s="1"/>
  <c r="G33"/>
  <c r="G32" s="1"/>
  <c r="E33"/>
  <c r="E32" s="1"/>
  <c r="D33"/>
  <c r="D32" s="1"/>
  <c r="F31"/>
  <c r="H30"/>
  <c r="G30"/>
  <c r="F30" s="1"/>
  <c r="D30"/>
  <c r="F29"/>
  <c r="H28"/>
  <c r="G28"/>
  <c r="F28" s="1"/>
  <c r="D28"/>
  <c r="F27"/>
  <c r="H26"/>
  <c r="G26"/>
  <c r="F26" s="1"/>
  <c r="D26"/>
  <c r="H25"/>
  <c r="G25"/>
  <c r="F25" s="1"/>
  <c r="D25"/>
  <c r="F24"/>
  <c r="E23"/>
  <c r="H22"/>
  <c r="G22"/>
  <c r="F22" s="1"/>
  <c r="D22"/>
  <c r="H21"/>
  <c r="G21"/>
  <c r="F21" s="1"/>
  <c r="D21"/>
  <c r="E20"/>
  <c r="F310"/>
  <c r="H309"/>
  <c r="G309"/>
  <c r="F309" s="1"/>
  <c r="D309"/>
  <c r="F308"/>
  <c r="H307"/>
  <c r="G307"/>
  <c r="E307"/>
  <c r="D307"/>
  <c r="F306"/>
  <c r="H305"/>
  <c r="G305"/>
  <c r="E305"/>
  <c r="D305"/>
  <c r="G303"/>
  <c r="F303" s="1"/>
  <c r="D303"/>
  <c r="D302" s="1"/>
  <c r="H302"/>
  <c r="F424"/>
  <c r="F423"/>
  <c r="H422"/>
  <c r="G422"/>
  <c r="D422"/>
  <c r="F312"/>
  <c r="H311"/>
  <c r="G311"/>
  <c r="F311" s="1"/>
  <c r="D311"/>
  <c r="F293"/>
  <c r="F292"/>
  <c r="H291"/>
  <c r="H289" s="1"/>
  <c r="G291"/>
  <c r="F291" s="1"/>
  <c r="D291"/>
  <c r="D289" s="1"/>
  <c r="F290"/>
  <c r="E289"/>
  <c r="H288"/>
  <c r="G288"/>
  <c r="F288" s="1"/>
  <c r="D288"/>
  <c r="H287"/>
  <c r="G287"/>
  <c r="F287" s="1"/>
  <c r="D287"/>
  <c r="E286"/>
  <c r="F421"/>
  <c r="F420"/>
  <c r="F419"/>
  <c r="F418"/>
  <c r="H417"/>
  <c r="G417"/>
  <c r="F417" s="1"/>
  <c r="D417"/>
  <c r="F472"/>
  <c r="H471"/>
  <c r="G471"/>
  <c r="F471" s="1"/>
  <c r="H470"/>
  <c r="G470"/>
  <c r="F470" s="1"/>
  <c r="E469"/>
  <c r="D469"/>
  <c r="F296"/>
  <c r="H295"/>
  <c r="G295"/>
  <c r="E295"/>
  <c r="D295"/>
  <c r="H202"/>
  <c r="H198" s="1"/>
  <c r="G202"/>
  <c r="F202" s="1"/>
  <c r="F201"/>
  <c r="F200"/>
  <c r="F199"/>
  <c r="E198"/>
  <c r="D198"/>
  <c r="F15"/>
  <c r="H14"/>
  <c r="G14"/>
  <c r="G11" s="1"/>
  <c r="E14"/>
  <c r="D14"/>
  <c r="F68"/>
  <c r="H67"/>
  <c r="G67"/>
  <c r="D67"/>
  <c r="D65" s="1"/>
  <c r="F66"/>
  <c r="H65"/>
  <c r="E65"/>
  <c r="H64"/>
  <c r="G64"/>
  <c r="F64" s="1"/>
  <c r="D64"/>
  <c r="H63"/>
  <c r="G63"/>
  <c r="F63" s="1"/>
  <c r="D63"/>
  <c r="E62"/>
  <c r="F59"/>
  <c r="F58"/>
  <c r="H57"/>
  <c r="G57"/>
  <c r="F57" s="1"/>
  <c r="D57"/>
  <c r="H56"/>
  <c r="G56"/>
  <c r="F56" s="1"/>
  <c r="D56"/>
  <c r="F55"/>
  <c r="E54"/>
  <c r="H53"/>
  <c r="G53"/>
  <c r="F53" s="1"/>
  <c r="D53"/>
  <c r="H52"/>
  <c r="G52"/>
  <c r="F52" s="1"/>
  <c r="D52"/>
  <c r="E51"/>
  <c r="F381"/>
  <c r="H380"/>
  <c r="G380"/>
  <c r="E380"/>
  <c r="D380"/>
  <c r="F391"/>
  <c r="H390"/>
  <c r="G390"/>
  <c r="E390"/>
  <c r="D390"/>
  <c r="F468"/>
  <c r="H467"/>
  <c r="G467"/>
  <c r="F466"/>
  <c r="F465"/>
  <c r="H464"/>
  <c r="E464"/>
  <c r="D464"/>
  <c r="H301"/>
  <c r="H297" s="1"/>
  <c r="G301"/>
  <c r="F301" s="1"/>
  <c r="F300"/>
  <c r="F299"/>
  <c r="F298"/>
  <c r="G297"/>
  <c r="E297"/>
  <c r="D297"/>
  <c r="F230"/>
  <c r="H229"/>
  <c r="G229"/>
  <c r="E229"/>
  <c r="D229"/>
  <c r="F48"/>
  <c r="F47"/>
  <c r="H46"/>
  <c r="G46"/>
  <c r="E46"/>
  <c r="D46"/>
  <c r="F45"/>
  <c r="F44"/>
  <c r="H43"/>
  <c r="G43"/>
  <c r="E43"/>
  <c r="E42" s="1"/>
  <c r="E41" s="1"/>
  <c r="D43"/>
  <c r="F476"/>
  <c r="F475"/>
  <c r="F474"/>
  <c r="H473"/>
  <c r="G473"/>
  <c r="E473"/>
  <c r="D473"/>
  <c r="F455"/>
  <c r="F454"/>
  <c r="F453"/>
  <c r="H452"/>
  <c r="H449" s="1"/>
  <c r="G452"/>
  <c r="F452" s="1"/>
  <c r="D452"/>
  <c r="D449" s="1"/>
  <c r="F451"/>
  <c r="F450"/>
  <c r="E449"/>
  <c r="F448"/>
  <c r="F447"/>
  <c r="H446"/>
  <c r="H445" s="1"/>
  <c r="G446"/>
  <c r="E446"/>
  <c r="D446"/>
  <c r="F463"/>
  <c r="F462"/>
  <c r="F461"/>
  <c r="H460"/>
  <c r="G460"/>
  <c r="E460"/>
  <c r="D460"/>
  <c r="F459"/>
  <c r="F458"/>
  <c r="F457"/>
  <c r="H456"/>
  <c r="G456"/>
  <c r="E456"/>
  <c r="D456"/>
  <c r="G219"/>
  <c r="F219" s="1"/>
  <c r="D219"/>
  <c r="D218" s="1"/>
  <c r="D217" s="1"/>
  <c r="D216" s="1"/>
  <c r="H218"/>
  <c r="H217" s="1"/>
  <c r="H216" s="1"/>
  <c r="E218"/>
  <c r="E217" s="1"/>
  <c r="E216" s="1"/>
  <c r="F416"/>
  <c r="D416"/>
  <c r="F415"/>
  <c r="D415"/>
  <c r="H414"/>
  <c r="G414"/>
  <c r="F414" s="1"/>
  <c r="E345"/>
  <c r="F345" s="1"/>
  <c r="H344"/>
  <c r="G344"/>
  <c r="D344"/>
  <c r="F343"/>
  <c r="H342"/>
  <c r="G342"/>
  <c r="F342" s="1"/>
  <c r="D342"/>
  <c r="F341"/>
  <c r="F340"/>
  <c r="H339"/>
  <c r="G339"/>
  <c r="F339" s="1"/>
  <c r="D339"/>
  <c r="H338"/>
  <c r="G338"/>
  <c r="F338" s="1"/>
  <c r="D338"/>
  <c r="F337"/>
  <c r="E336"/>
  <c r="H335"/>
  <c r="G335"/>
  <c r="F335" s="1"/>
  <c r="D335"/>
  <c r="H334"/>
  <c r="G334"/>
  <c r="F334" s="1"/>
  <c r="D334"/>
  <c r="E333"/>
  <c r="F349"/>
  <c r="H348"/>
  <c r="G348"/>
  <c r="E348"/>
  <c r="D348"/>
  <c r="F347"/>
  <c r="H346"/>
  <c r="G346"/>
  <c r="E346"/>
  <c r="D346"/>
  <c r="F353"/>
  <c r="H352"/>
  <c r="G352"/>
  <c r="E352"/>
  <c r="D352"/>
  <c r="H351"/>
  <c r="H350" s="1"/>
  <c r="G351"/>
  <c r="F351" s="1"/>
  <c r="D351"/>
  <c r="D350" s="1"/>
  <c r="E350"/>
  <c r="F413"/>
  <c r="F412"/>
  <c r="F411"/>
  <c r="F410"/>
  <c r="H409"/>
  <c r="G409"/>
  <c r="F409" s="1"/>
  <c r="D409"/>
  <c r="F366"/>
  <c r="H365"/>
  <c r="G365"/>
  <c r="F365" s="1"/>
  <c r="D365"/>
  <c r="H364"/>
  <c r="G364"/>
  <c r="F364" s="1"/>
  <c r="D364"/>
  <c r="F363"/>
  <c r="F362"/>
  <c r="H361"/>
  <c r="G361"/>
  <c r="F361" s="1"/>
  <c r="D361"/>
  <c r="F360"/>
  <c r="E359"/>
  <c r="H358"/>
  <c r="G358"/>
  <c r="F358" s="1"/>
  <c r="D358"/>
  <c r="H357"/>
  <c r="G357"/>
  <c r="F357" s="1"/>
  <c r="D357"/>
  <c r="E356"/>
  <c r="F376"/>
  <c r="H375"/>
  <c r="G375"/>
  <c r="D375"/>
  <c r="F374"/>
  <c r="H373"/>
  <c r="E373"/>
  <c r="D373"/>
  <c r="H372"/>
  <c r="G372"/>
  <c r="F372" s="1"/>
  <c r="D372"/>
  <c r="H371"/>
  <c r="G371"/>
  <c r="F371" s="1"/>
  <c r="D371"/>
  <c r="E370"/>
  <c r="E369" s="1"/>
  <c r="E368" s="1"/>
  <c r="E367" s="1"/>
  <c r="H330"/>
  <c r="G330"/>
  <c r="F330" s="1"/>
  <c r="D330"/>
  <c r="D328" s="1"/>
  <c r="H329"/>
  <c r="G329"/>
  <c r="E329"/>
  <c r="E328" s="1"/>
  <c r="F408"/>
  <c r="D408"/>
  <c r="F407"/>
  <c r="D407"/>
  <c r="D406" s="1"/>
  <c r="H406"/>
  <c r="G406"/>
  <c r="F406" s="1"/>
  <c r="H327"/>
  <c r="H326" s="1"/>
  <c r="G327"/>
  <c r="F327" s="1"/>
  <c r="D327"/>
  <c r="D326" s="1"/>
  <c r="H325"/>
  <c r="G325"/>
  <c r="F325" s="1"/>
  <c r="D325"/>
  <c r="F324"/>
  <c r="H323"/>
  <c r="G323"/>
  <c r="F323" s="1"/>
  <c r="D323"/>
  <c r="F322"/>
  <c r="H321"/>
  <c r="G321"/>
  <c r="F321" s="1"/>
  <c r="D321"/>
  <c r="D319" s="1"/>
  <c r="F320"/>
  <c r="H319"/>
  <c r="G319"/>
  <c r="E319"/>
  <c r="H318"/>
  <c r="G318"/>
  <c r="F318" s="1"/>
  <c r="D318"/>
  <c r="H317"/>
  <c r="G317"/>
  <c r="F317" s="1"/>
  <c r="D317"/>
  <c r="E316"/>
  <c r="F35"/>
  <c r="H34"/>
  <c r="G34"/>
  <c r="E34"/>
  <c r="D34"/>
  <c r="F385"/>
  <c r="H384"/>
  <c r="G384"/>
  <c r="E384"/>
  <c r="D384"/>
  <c r="F389"/>
  <c r="H388"/>
  <c r="G388"/>
  <c r="E388"/>
  <c r="D388"/>
  <c r="F383"/>
  <c r="H382"/>
  <c r="G382"/>
  <c r="E382"/>
  <c r="D382"/>
  <c r="F433"/>
  <c r="E432"/>
  <c r="F387"/>
  <c r="H386"/>
  <c r="G386"/>
  <c r="E386"/>
  <c r="D386"/>
  <c r="F442"/>
  <c r="H441"/>
  <c r="H439" s="1"/>
  <c r="G441"/>
  <c r="F441" s="1"/>
  <c r="D441"/>
  <c r="D439" s="1"/>
  <c r="F440"/>
  <c r="E439"/>
  <c r="F438"/>
  <c r="F437"/>
  <c r="H436"/>
  <c r="G436"/>
  <c r="E436"/>
  <c r="D436"/>
  <c r="F227"/>
  <c r="H226"/>
  <c r="G226"/>
  <c r="E226"/>
  <c r="D226"/>
  <c r="H236"/>
  <c r="H235" s="1"/>
  <c r="G236"/>
  <c r="F236" s="1"/>
  <c r="D236"/>
  <c r="D235" s="1"/>
  <c r="E235"/>
  <c r="F405"/>
  <c r="F404"/>
  <c r="F403"/>
  <c r="F402"/>
  <c r="H401"/>
  <c r="G401"/>
  <c r="F401" s="1"/>
  <c r="D401"/>
  <c r="F71"/>
  <c r="H70"/>
  <c r="G70"/>
  <c r="F70" s="1"/>
  <c r="D70"/>
  <c r="F278"/>
  <c r="H277"/>
  <c r="G277"/>
  <c r="F277" s="1"/>
  <c r="D277"/>
  <c r="F276"/>
  <c r="H275"/>
  <c r="H273" s="1"/>
  <c r="G275"/>
  <c r="F275" s="1"/>
  <c r="D275"/>
  <c r="D273" s="1"/>
  <c r="F274"/>
  <c r="E273"/>
  <c r="H272"/>
  <c r="G272"/>
  <c r="F272" s="1"/>
  <c r="D272"/>
  <c r="H271"/>
  <c r="G271"/>
  <c r="F271" s="1"/>
  <c r="D271"/>
  <c r="E270"/>
  <c r="F268"/>
  <c r="F267"/>
  <c r="H266"/>
  <c r="G266"/>
  <c r="E266"/>
  <c r="D266"/>
  <c r="F264"/>
  <c r="F263"/>
  <c r="H262"/>
  <c r="G262"/>
  <c r="F262" s="1"/>
  <c r="D262"/>
  <c r="D260" s="1"/>
  <c r="F261"/>
  <c r="H260"/>
  <c r="E260"/>
  <c r="H259"/>
  <c r="G259"/>
  <c r="F259" s="1"/>
  <c r="D259"/>
  <c r="H258"/>
  <c r="G258"/>
  <c r="F258" s="1"/>
  <c r="D258"/>
  <c r="E257"/>
  <c r="F254"/>
  <c r="H253"/>
  <c r="G253"/>
  <c r="G249" s="1"/>
  <c r="E253"/>
  <c r="D253"/>
  <c r="F252"/>
  <c r="F251"/>
  <c r="H250"/>
  <c r="G250"/>
  <c r="E250"/>
  <c r="D250"/>
  <c r="H249"/>
  <c r="H248" s="1"/>
  <c r="F169"/>
  <c r="H168"/>
  <c r="G168"/>
  <c r="E168"/>
  <c r="D168"/>
  <c r="E156"/>
  <c r="F156" s="1"/>
  <c r="H155"/>
  <c r="H154" s="1"/>
  <c r="G155"/>
  <c r="F155" s="1"/>
  <c r="D154"/>
  <c r="F153"/>
  <c r="H152"/>
  <c r="G152"/>
  <c r="E152"/>
  <c r="D152"/>
  <c r="H151"/>
  <c r="G151"/>
  <c r="E151"/>
  <c r="D151"/>
  <c r="F140"/>
  <c r="F139"/>
  <c r="E138"/>
  <c r="H137"/>
  <c r="G137"/>
  <c r="D137"/>
  <c r="H130"/>
  <c r="H129" s="1"/>
  <c r="G130"/>
  <c r="F130" s="1"/>
  <c r="D130"/>
  <c r="D129" s="1"/>
  <c r="E129"/>
  <c r="E128"/>
  <c r="F128" s="1"/>
  <c r="E127"/>
  <c r="H126"/>
  <c r="G126"/>
  <c r="D126"/>
  <c r="H124"/>
  <c r="H123" s="1"/>
  <c r="G124"/>
  <c r="F124" s="1"/>
  <c r="D124"/>
  <c r="D123" s="1"/>
  <c r="E123"/>
  <c r="E122"/>
  <c r="F122" s="1"/>
  <c r="E121"/>
  <c r="H120"/>
  <c r="G120"/>
  <c r="D120"/>
  <c r="F400"/>
  <c r="F399"/>
  <c r="H398"/>
  <c r="G398"/>
  <c r="D398"/>
  <c r="H172"/>
  <c r="H171" s="1"/>
  <c r="H170" s="1"/>
  <c r="G172"/>
  <c r="D172"/>
  <c r="D171" s="1"/>
  <c r="D170" s="1"/>
  <c r="H164"/>
  <c r="H163" s="1"/>
  <c r="G164"/>
  <c r="F164" s="1"/>
  <c r="D164"/>
  <c r="D163" s="1"/>
  <c r="G163"/>
  <c r="E163"/>
  <c r="H162"/>
  <c r="H161" s="1"/>
  <c r="G162"/>
  <c r="F162" s="1"/>
  <c r="D162"/>
  <c r="D161" s="1"/>
  <c r="E161"/>
  <c r="H117"/>
  <c r="G117"/>
  <c r="F117" s="1"/>
  <c r="D117"/>
  <c r="H116"/>
  <c r="G116"/>
  <c r="E116"/>
  <c r="E115" s="1"/>
  <c r="D116"/>
  <c r="D115" s="1"/>
  <c r="F114"/>
  <c r="H113"/>
  <c r="E113"/>
  <c r="F113" s="1"/>
  <c r="F112"/>
  <c r="H111"/>
  <c r="G111"/>
  <c r="G110" s="1"/>
  <c r="E111"/>
  <c r="E110" s="1"/>
  <c r="D110"/>
  <c r="F109"/>
  <c r="D109"/>
  <c r="D108" s="1"/>
  <c r="H108"/>
  <c r="G108"/>
  <c r="F108" s="1"/>
  <c r="H107"/>
  <c r="H106" s="1"/>
  <c r="G107"/>
  <c r="F107" s="1"/>
  <c r="D106"/>
  <c r="F105"/>
  <c r="F104"/>
  <c r="H103"/>
  <c r="G103"/>
  <c r="F103" s="1"/>
  <c r="D103"/>
  <c r="H102"/>
  <c r="G102"/>
  <c r="E102"/>
  <c r="E99" s="1"/>
  <c r="D102"/>
  <c r="D99" s="1"/>
  <c r="F101"/>
  <c r="F100"/>
  <c r="H98"/>
  <c r="G98"/>
  <c r="E98"/>
  <c r="E96" s="1"/>
  <c r="D98"/>
  <c r="H97"/>
  <c r="H96" s="1"/>
  <c r="G97"/>
  <c r="F97" s="1"/>
  <c r="D97"/>
  <c r="F397"/>
  <c r="F396"/>
  <c r="H395"/>
  <c r="G395"/>
  <c r="F395" s="1"/>
  <c r="D395"/>
  <c r="F160"/>
  <c r="H159"/>
  <c r="G159"/>
  <c r="E159"/>
  <c r="D159"/>
  <c r="F90"/>
  <c r="H89"/>
  <c r="G89"/>
  <c r="E89"/>
  <c r="D89"/>
  <c r="F93"/>
  <c r="F92"/>
  <c r="H91"/>
  <c r="G91"/>
  <c r="E91"/>
  <c r="D91"/>
  <c r="F88"/>
  <c r="F87"/>
  <c r="F86"/>
  <c r="F85"/>
  <c r="H84"/>
  <c r="G84"/>
  <c r="E84"/>
  <c r="D84"/>
  <c r="F83"/>
  <c r="H82"/>
  <c r="G82"/>
  <c r="F82" s="1"/>
  <c r="D82"/>
  <c r="F81"/>
  <c r="H80"/>
  <c r="G80"/>
  <c r="F80" s="1"/>
  <c r="D80"/>
  <c r="D78" s="1"/>
  <c r="F79"/>
  <c r="H78"/>
  <c r="G78"/>
  <c r="E78"/>
  <c r="H77"/>
  <c r="G77"/>
  <c r="E77"/>
  <c r="D77"/>
  <c r="H76"/>
  <c r="H75" s="1"/>
  <c r="G76"/>
  <c r="G75" s="1"/>
  <c r="E76"/>
  <c r="E75" s="1"/>
  <c r="D76"/>
  <c r="D75" s="1"/>
  <c r="F394"/>
  <c r="F393"/>
  <c r="H392"/>
  <c r="G392"/>
  <c r="F392" s="1"/>
  <c r="D392"/>
  <c r="H247"/>
  <c r="H245" s="1"/>
  <c r="G247"/>
  <c r="F247" s="1"/>
  <c r="D247"/>
  <c r="D245" s="1"/>
  <c r="F246"/>
  <c r="E245"/>
  <c r="H244"/>
  <c r="G244"/>
  <c r="F244" s="1"/>
  <c r="D244"/>
  <c r="H243"/>
  <c r="G243"/>
  <c r="D243"/>
  <c r="E242"/>
  <c r="H206"/>
  <c r="H205" s="1"/>
  <c r="G206"/>
  <c r="F206" s="1"/>
  <c r="D206"/>
  <c r="D205" s="1"/>
  <c r="H204"/>
  <c r="H203" s="1"/>
  <c r="G204"/>
  <c r="F204" s="1"/>
  <c r="H197"/>
  <c r="G197"/>
  <c r="F197" s="1"/>
  <c r="D197"/>
  <c r="D195" s="1"/>
  <c r="F196"/>
  <c r="H195"/>
  <c r="E195"/>
  <c r="E194"/>
  <c r="F194" s="1"/>
  <c r="E193"/>
  <c r="F193" s="1"/>
  <c r="H192"/>
  <c r="H191" s="1"/>
  <c r="G192"/>
  <c r="D192"/>
  <c r="H188"/>
  <c r="H187" s="1"/>
  <c r="G188"/>
  <c r="F188" s="1"/>
  <c r="D188"/>
  <c r="D187" s="1"/>
  <c r="F186"/>
  <c r="H185"/>
  <c r="G185"/>
  <c r="F185" s="1"/>
  <c r="D185"/>
  <c r="F184"/>
  <c r="H183"/>
  <c r="G183"/>
  <c r="F183" s="1"/>
  <c r="D183"/>
  <c r="H182"/>
  <c r="G182"/>
  <c r="F182" s="1"/>
  <c r="D182"/>
  <c r="H181"/>
  <c r="G181"/>
  <c r="F181" s="1"/>
  <c r="D181"/>
  <c r="F180"/>
  <c r="E178"/>
  <c r="F178" s="1"/>
  <c r="E177"/>
  <c r="F177" s="1"/>
  <c r="H176"/>
  <c r="G176"/>
  <c r="D176"/>
  <c r="H136"/>
  <c r="H135" s="1"/>
  <c r="G136"/>
  <c r="F136" s="1"/>
  <c r="D136"/>
  <c r="D135" s="1"/>
  <c r="E135"/>
  <c r="F134"/>
  <c r="F133"/>
  <c r="H132"/>
  <c r="G132"/>
  <c r="E132"/>
  <c r="D132"/>
  <c r="E249" l="1"/>
  <c r="E248" s="1"/>
  <c r="G142"/>
  <c r="F142" s="1"/>
  <c r="G205"/>
  <c r="F205" s="1"/>
  <c r="G237"/>
  <c r="G96"/>
  <c r="G161"/>
  <c r="G158" s="1"/>
  <c r="D249"/>
  <c r="D248" s="1"/>
  <c r="D414"/>
  <c r="H119"/>
  <c r="H42"/>
  <c r="H41" s="1"/>
  <c r="E445"/>
  <c r="D445"/>
  <c r="H379"/>
  <c r="G379"/>
  <c r="D54"/>
  <c r="E61"/>
  <c r="E60" s="1"/>
  <c r="E141"/>
  <c r="H141"/>
  <c r="E435"/>
  <c r="E434" s="1"/>
  <c r="F221"/>
  <c r="E332"/>
  <c r="H62"/>
  <c r="H61" s="1"/>
  <c r="H60" s="1"/>
  <c r="D20"/>
  <c r="H221"/>
  <c r="E269"/>
  <c r="E265" s="1"/>
  <c r="D435"/>
  <c r="D434" s="1"/>
  <c r="D336"/>
  <c r="E50"/>
  <c r="E49" s="1"/>
  <c r="D131"/>
  <c r="D270"/>
  <c r="H270"/>
  <c r="H269" s="1"/>
  <c r="G439"/>
  <c r="G435" s="1"/>
  <c r="H328"/>
  <c r="D370"/>
  <c r="D369" s="1"/>
  <c r="D368" s="1"/>
  <c r="D367" s="1"/>
  <c r="H370"/>
  <c r="H369" s="1"/>
  <c r="H368" s="1"/>
  <c r="H367" s="1"/>
  <c r="E355"/>
  <c r="E354" s="1"/>
  <c r="D333"/>
  <c r="H333"/>
  <c r="G336"/>
  <c r="H336"/>
  <c r="D51"/>
  <c r="H51"/>
  <c r="E19"/>
  <c r="E18" s="1"/>
  <c r="G302"/>
  <c r="F302" s="1"/>
  <c r="G54"/>
  <c r="F54" s="1"/>
  <c r="D304"/>
  <c r="G20"/>
  <c r="F20" s="1"/>
  <c r="H209"/>
  <c r="H208" s="1"/>
  <c r="H207" s="1"/>
  <c r="G203"/>
  <c r="F203" s="1"/>
  <c r="H242"/>
  <c r="G245"/>
  <c r="F245" s="1"/>
  <c r="H99"/>
  <c r="F111"/>
  <c r="H110"/>
  <c r="E208"/>
  <c r="E207" s="1"/>
  <c r="E315"/>
  <c r="E314" s="1"/>
  <c r="G187"/>
  <c r="F187" s="1"/>
  <c r="G333"/>
  <c r="F333" s="1"/>
  <c r="H115"/>
  <c r="E285"/>
  <c r="E284" s="1"/>
  <c r="E222"/>
  <c r="F222" s="1"/>
  <c r="F231"/>
  <c r="H257"/>
  <c r="H256" s="1"/>
  <c r="H255" s="1"/>
  <c r="D356"/>
  <c r="G51"/>
  <c r="G50" s="1"/>
  <c r="D36"/>
  <c r="H131"/>
  <c r="E192"/>
  <c r="F192" s="1"/>
  <c r="H125"/>
  <c r="G270"/>
  <c r="F384"/>
  <c r="D316"/>
  <c r="D315" s="1"/>
  <c r="D314" s="1"/>
  <c r="H316"/>
  <c r="H315" s="1"/>
  <c r="H356"/>
  <c r="F352"/>
  <c r="E344"/>
  <c r="D228"/>
  <c r="E294"/>
  <c r="H54"/>
  <c r="D286"/>
  <c r="H286"/>
  <c r="H285" s="1"/>
  <c r="H284" s="1"/>
  <c r="H283" s="1"/>
  <c r="H20"/>
  <c r="E38"/>
  <c r="E37" s="1"/>
  <c r="F37" s="1"/>
  <c r="F76"/>
  <c r="F382"/>
  <c r="G286"/>
  <c r="F286" s="1"/>
  <c r="D23"/>
  <c r="F237"/>
  <c r="H179"/>
  <c r="D179"/>
  <c r="D175" s="1"/>
  <c r="D174" s="1"/>
  <c r="D96"/>
  <c r="D95" s="1"/>
  <c r="D94" s="1"/>
  <c r="D125"/>
  <c r="G316"/>
  <c r="F316" s="1"/>
  <c r="D359"/>
  <c r="F43"/>
  <c r="H469"/>
  <c r="F233"/>
  <c r="G123"/>
  <c r="F123" s="1"/>
  <c r="F226"/>
  <c r="F386"/>
  <c r="F319"/>
  <c r="H23"/>
  <c r="H175"/>
  <c r="H174" s="1"/>
  <c r="E241"/>
  <c r="E239" s="1"/>
  <c r="F84"/>
  <c r="F89"/>
  <c r="F110"/>
  <c r="F163"/>
  <c r="F266"/>
  <c r="E40"/>
  <c r="H190"/>
  <c r="H189" s="1"/>
  <c r="F439"/>
  <c r="F346"/>
  <c r="F460"/>
  <c r="E228"/>
  <c r="D11"/>
  <c r="H11"/>
  <c r="F121"/>
  <c r="E120"/>
  <c r="E119" s="1"/>
  <c r="F432"/>
  <c r="E431"/>
  <c r="F431" s="1"/>
  <c r="F243"/>
  <c r="G242"/>
  <c r="F242" s="1"/>
  <c r="H241"/>
  <c r="E74"/>
  <c r="E73" s="1"/>
  <c r="D74"/>
  <c r="D73" s="1"/>
  <c r="H74"/>
  <c r="H73" s="1"/>
  <c r="H158"/>
  <c r="H157" s="1"/>
  <c r="F172"/>
  <c r="G171"/>
  <c r="F398"/>
  <c r="D119"/>
  <c r="F127"/>
  <c r="E126"/>
  <c r="G129"/>
  <c r="G125" s="1"/>
  <c r="F138"/>
  <c r="E137"/>
  <c r="F137" s="1"/>
  <c r="F152"/>
  <c r="G257"/>
  <c r="F257" s="1"/>
  <c r="D257"/>
  <c r="D256" s="1"/>
  <c r="D255" s="1"/>
  <c r="E256"/>
  <c r="G273"/>
  <c r="F273" s="1"/>
  <c r="F388"/>
  <c r="F422"/>
  <c r="F305"/>
  <c r="G304"/>
  <c r="D191"/>
  <c r="D242"/>
  <c r="D241" s="1"/>
  <c r="F78"/>
  <c r="H95"/>
  <c r="E95"/>
  <c r="E94" s="1"/>
  <c r="F151"/>
  <c r="F168"/>
  <c r="F250"/>
  <c r="H435"/>
  <c r="H434" s="1"/>
  <c r="G326"/>
  <c r="F329"/>
  <c r="G370"/>
  <c r="F370" s="1"/>
  <c r="G356"/>
  <c r="G359"/>
  <c r="F359" s="1"/>
  <c r="H359"/>
  <c r="F456"/>
  <c r="G449"/>
  <c r="F449" s="1"/>
  <c r="G42"/>
  <c r="F42" s="1"/>
  <c r="F297"/>
  <c r="G289"/>
  <c r="F289" s="1"/>
  <c r="H19"/>
  <c r="H18" s="1"/>
  <c r="G23"/>
  <c r="F165"/>
  <c r="D165"/>
  <c r="F166"/>
  <c r="F210"/>
  <c r="G209"/>
  <c r="F209" s="1"/>
  <c r="D42"/>
  <c r="D41" s="1"/>
  <c r="F14"/>
  <c r="F11" s="1"/>
  <c r="H304"/>
  <c r="F307"/>
  <c r="F33"/>
  <c r="D209"/>
  <c r="D208" s="1"/>
  <c r="D207" s="1"/>
  <c r="F212"/>
  <c r="D141"/>
  <c r="F143"/>
  <c r="E131"/>
  <c r="G135"/>
  <c r="D239"/>
  <c r="F132"/>
  <c r="E176"/>
  <c r="E175" s="1"/>
  <c r="E174" s="1"/>
  <c r="G179"/>
  <c r="G195"/>
  <c r="F75"/>
  <c r="F77"/>
  <c r="F91"/>
  <c r="F159"/>
  <c r="F98"/>
  <c r="G99"/>
  <c r="F102"/>
  <c r="G106"/>
  <c r="F106" s="1"/>
  <c r="F116"/>
  <c r="E158"/>
  <c r="E157" s="1"/>
  <c r="F249"/>
  <c r="F253"/>
  <c r="G260"/>
  <c r="G235"/>
  <c r="F235" s="1"/>
  <c r="F436"/>
  <c r="F96"/>
  <c r="D158"/>
  <c r="D157" s="1"/>
  <c r="G350"/>
  <c r="F350" s="1"/>
  <c r="H40"/>
  <c r="F224"/>
  <c r="F146"/>
  <c r="F148"/>
  <c r="F34"/>
  <c r="G328"/>
  <c r="G218"/>
  <c r="F218" s="1"/>
  <c r="F46"/>
  <c r="F32"/>
  <c r="G74"/>
  <c r="G248"/>
  <c r="F375"/>
  <c r="G373"/>
  <c r="F373" s="1"/>
  <c r="G115"/>
  <c r="E154"/>
  <c r="G154"/>
  <c r="F348"/>
  <c r="F473"/>
  <c r="F229"/>
  <c r="F390"/>
  <c r="E282"/>
  <c r="F446"/>
  <c r="F467"/>
  <c r="G464"/>
  <c r="F380"/>
  <c r="G49"/>
  <c r="G62"/>
  <c r="D62"/>
  <c r="D61" s="1"/>
  <c r="D60" s="1"/>
  <c r="F67"/>
  <c r="G65"/>
  <c r="F65" s="1"/>
  <c r="G198"/>
  <c r="F295"/>
  <c r="G469"/>
  <c r="G141" l="1"/>
  <c r="F141" s="1"/>
  <c r="F161"/>
  <c r="E36"/>
  <c r="H118"/>
  <c r="F270"/>
  <c r="G269"/>
  <c r="G119"/>
  <c r="F119" s="1"/>
  <c r="E191"/>
  <c r="E190" s="1"/>
  <c r="E189" s="1"/>
  <c r="D19"/>
  <c r="D18" s="1"/>
  <c r="G445"/>
  <c r="E331"/>
  <c r="G332"/>
  <c r="F332" s="1"/>
  <c r="F336"/>
  <c r="E240"/>
  <c r="G41"/>
  <c r="F38"/>
  <c r="D355"/>
  <c r="D354" s="1"/>
  <c r="F50"/>
  <c r="D50"/>
  <c r="D49" s="1"/>
  <c r="D40"/>
  <c r="G241"/>
  <c r="F241" s="1"/>
  <c r="G19"/>
  <c r="F19" s="1"/>
  <c r="G285"/>
  <c r="F344"/>
  <c r="H355"/>
  <c r="H354" s="1"/>
  <c r="H94"/>
  <c r="H50"/>
  <c r="H49" s="1"/>
  <c r="H332"/>
  <c r="D332"/>
  <c r="G434"/>
  <c r="F434" s="1"/>
  <c r="F435"/>
  <c r="D118"/>
  <c r="G208"/>
  <c r="G207" s="1"/>
  <c r="F51"/>
  <c r="G217"/>
  <c r="G216" s="1"/>
  <c r="F23"/>
  <c r="F158"/>
  <c r="G157"/>
  <c r="F157" s="1"/>
  <c r="D444"/>
  <c r="D443" s="1"/>
  <c r="D294"/>
  <c r="H282"/>
  <c r="E281"/>
  <c r="D190"/>
  <c r="E313"/>
  <c r="G355"/>
  <c r="F356"/>
  <c r="F326"/>
  <c r="G315"/>
  <c r="F171"/>
  <c r="G170"/>
  <c r="F170" s="1"/>
  <c r="F129"/>
  <c r="F304"/>
  <c r="F126"/>
  <c r="E125"/>
  <c r="F125" s="1"/>
  <c r="F120"/>
  <c r="F36"/>
  <c r="F260"/>
  <c r="G256"/>
  <c r="F99"/>
  <c r="G95"/>
  <c r="F95" s="1"/>
  <c r="F195"/>
  <c r="G191"/>
  <c r="G190" s="1"/>
  <c r="F176"/>
  <c r="F135"/>
  <c r="G131"/>
  <c r="F328"/>
  <c r="F179"/>
  <c r="G175"/>
  <c r="F469"/>
  <c r="F198"/>
  <c r="F62"/>
  <c r="G61"/>
  <c r="F49"/>
  <c r="F464"/>
  <c r="F154"/>
  <c r="F248"/>
  <c r="F41"/>
  <c r="F217"/>
  <c r="F115"/>
  <c r="G369"/>
  <c r="F74"/>
  <c r="G73"/>
  <c r="G118" l="1"/>
  <c r="F445"/>
  <c r="D331"/>
  <c r="G18"/>
  <c r="F18" s="1"/>
  <c r="F208"/>
  <c r="F285"/>
  <c r="G284"/>
  <c r="E118"/>
  <c r="G94"/>
  <c r="F94" s="1"/>
  <c r="D189"/>
  <c r="E444"/>
  <c r="D285"/>
  <c r="D284" s="1"/>
  <c r="D313"/>
  <c r="E280"/>
  <c r="H281"/>
  <c r="F355"/>
  <c r="G354"/>
  <c r="F315"/>
  <c r="F131"/>
  <c r="F191"/>
  <c r="G189"/>
  <c r="F189" s="1"/>
  <c r="F256"/>
  <c r="G255"/>
  <c r="F175"/>
  <c r="G174"/>
  <c r="F207"/>
  <c r="F216"/>
  <c r="F73"/>
  <c r="F369"/>
  <c r="G368"/>
  <c r="F61"/>
  <c r="G60"/>
  <c r="F190"/>
  <c r="F118" l="1"/>
  <c r="G283"/>
  <c r="F284"/>
  <c r="E443"/>
  <c r="H280"/>
  <c r="E173"/>
  <c r="D283"/>
  <c r="D173"/>
  <c r="D220"/>
  <c r="F354"/>
  <c r="F174"/>
  <c r="F255"/>
  <c r="F60"/>
  <c r="G40"/>
  <c r="F368"/>
  <c r="G367"/>
  <c r="G282" l="1"/>
  <c r="F283"/>
  <c r="D282"/>
  <c r="E10"/>
  <c r="F367"/>
  <c r="F40"/>
  <c r="G281" l="1"/>
  <c r="F282"/>
  <c r="G378"/>
  <c r="F379"/>
  <c r="D281"/>
  <c r="E279"/>
  <c r="E72"/>
  <c r="D10"/>
  <c r="F281" l="1"/>
  <c r="G280"/>
  <c r="E69"/>
  <c r="D280"/>
  <c r="D72"/>
  <c r="F378"/>
  <c r="F280" l="1"/>
  <c r="H378" l="1"/>
  <c r="H265"/>
  <c r="D279" l="1"/>
  <c r="D269" s="1"/>
  <c r="D265" s="1"/>
  <c r="D379" l="1"/>
  <c r="D378" s="1"/>
  <c r="C6" i="26"/>
  <c r="D69" i="34" l="1"/>
  <c r="G265" l="1"/>
  <c r="F265" s="1"/>
  <c r="F269"/>
  <c r="D377" l="1"/>
  <c r="E478" l="1"/>
  <c r="D478"/>
  <c r="D6"/>
  <c r="F890" i="42"/>
</calcChain>
</file>

<file path=xl/comments1.xml><?xml version="1.0" encoding="utf-8"?>
<comments xmlns="http://schemas.openxmlformats.org/spreadsheetml/2006/main">
  <authors>
    <author>Автор</author>
  </authors>
  <commentList>
    <comment ref="F7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170,38-не знаю на хрен</t>
        </r>
      </text>
    </comment>
    <comment ref="D7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  <comment ref="G7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3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  <comment ref="F7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170,38-не знаю на хрен</t>
        </r>
      </text>
    </comment>
    <comment ref="D7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3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  <comment ref="E3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  <comment ref="G3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  <comment ref="H3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</commentList>
</comments>
</file>

<file path=xl/sharedStrings.xml><?xml version="1.0" encoding="utf-8"?>
<sst xmlns="http://schemas.openxmlformats.org/spreadsheetml/2006/main" count="5688" uniqueCount="659">
  <si>
    <t xml:space="preserve">Наименование </t>
  </si>
  <si>
    <t>(изменения +/-)</t>
  </si>
  <si>
    <t xml:space="preserve">Целевая статья </t>
  </si>
  <si>
    <t>Вид расхода</t>
  </si>
  <si>
    <t>Основное мероприятие "Развитие качественного дополнительного образования"</t>
  </si>
  <si>
    <t>02 1 03 00000</t>
  </si>
  <si>
    <t>Создание условий для сохранения и развития дополнительного образования в сфере культуры и искусства</t>
  </si>
  <si>
    <t>02 1 03 03100</t>
  </si>
  <si>
    <t>Расходы на выплаты по оплате труда работников МКОУ ДОД «Детская школа искусств» МО «Кош-Агачский район»</t>
  </si>
  <si>
    <t>02 1 03 03110</t>
  </si>
  <si>
    <t xml:space="preserve">Фонд оплаты труда учреждений
</t>
  </si>
  <si>
    <t>111</t>
  </si>
  <si>
    <t xml:space="preserve">Взносы по обязательному социальному страхованию на выплаты по оплате труда работников и иные выплаты работникам учреждений
</t>
  </si>
  <si>
    <t>119</t>
  </si>
  <si>
    <t>02 1 03 03190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</si>
  <si>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</si>
  <si>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</si>
  <si>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</si>
  <si>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</si>
  <si>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Прочая закупка товаров, работ и услуг для обеспечения государственных (муниципальных) нужд</t>
  </si>
  <si>
    <t>244</t>
  </si>
  <si>
    <t>Уплата иных платежей</t>
  </si>
  <si>
    <t>853</t>
  </si>
  <si>
    <t>Выплата ежемесячной надбавки к заработной плате педагогическим работникам, отнесенным к категории молодых специалистов</t>
  </si>
  <si>
    <t>02 1 03 S4500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</si>
  <si>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</si>
  <si>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 "Обеспечение культурного досуга населения"</t>
  </si>
  <si>
    <t>Создание условий для обеспечения и развития культурно-досуговых услуг</t>
  </si>
  <si>
    <t>Расходы на выплаты по оплате труда работников МКУ «ЦКИ»</t>
  </si>
  <si>
    <t>Расходы на обеспечение деятельности МКУ «ЦКИ»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</si>
  <si>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</si>
  <si>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</si>
  <si>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</si>
  <si>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</si>
  <si>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Создание условий для предоставления библиотечных услуг</t>
  </si>
  <si>
    <t>Расходы на выплаты по оплате труда работников МКУ «ЦМБС»</t>
  </si>
  <si>
    <t>Основное мероприятие "Развитие территории традиционного природопользования местного значения"</t>
  </si>
  <si>
    <t>Расходы на обеспечение функций МКУ «Дирекция ТТП» МО «Кош-Агачский район»</t>
  </si>
  <si>
    <t>Создание условий реализации муниципальной программы  "Социальное развитие муниципального образования "Кош-Агачский район""</t>
  </si>
  <si>
    <t xml:space="preserve">Основное мероприятие "Обеспечение эффективности муниципального управления  в Отделе культуры администрации муниципального образования "Кош-Агачский район"» </t>
  </si>
  <si>
    <t>Расходы на выплаты по оплате труда работников Отдел культуры Администрации МО «Кош-Агачский район»</t>
  </si>
  <si>
    <t>Фонд оплаты труда государственных (муниципальных) органов</t>
  </si>
  <si>
    <t>121</t>
  </si>
  <si>
    <t xml:space="preserve"> Взносы по обязательному социальному страхованию на выплаты денежного содержания и иные выплаты работникамгосударственных (муниципальных) органов
</t>
  </si>
  <si>
    <t>129</t>
  </si>
  <si>
    <t>Расходы на обеспечение функций Отдел культуры Администрации МО «Кош-Агачский район»</t>
  </si>
  <si>
    <t xml:space="preserve"> Иные выплаты персоналу государственных (муниципальных) органов, за исключением фонда оплаты труда</t>
  </si>
  <si>
    <t>122</t>
  </si>
  <si>
    <t>Основное мероприятие "Развитие качественного дошкольного образования"</t>
  </si>
  <si>
    <t>02 1 01 00000</t>
  </si>
  <si>
    <t>Обеспечение доступности дошкольного образования для детей</t>
  </si>
  <si>
    <t>02 1 01 00100</t>
  </si>
  <si>
    <t>Расходы на выплаты по оплате труда работников муниципальных дошкольных учреждений</t>
  </si>
  <si>
    <t>02 1 01 00110</t>
  </si>
  <si>
    <t>Расходы на обеспечение деятельности муниципальных дошкольных учреждений</t>
  </si>
  <si>
    <t>02 1 01 00190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</si>
  <si>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</si>
  <si>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02 1 01 44300</t>
  </si>
  <si>
    <t>02 1 01 S4500</t>
  </si>
  <si>
    <t>Субвенции на обеспечение государственных гарантий прав граждан на получение общедоступного и бесплатного дошкольного образования в частных дошкольных образовательных организациях , дошкольного, начального общего, основного общего, среднего общего образования в частных общеобразовательных организациях , осуществляющих образовательную деятельность по имеющим государственную аккредитацию основным общеобразовательным программам</t>
  </si>
  <si>
    <t>02 1 01 48400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</si>
  <si>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</si>
  <si>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>811</t>
  </si>
  <si>
    <t>Основное мероприятие "Качественное питание в образовательных учреждениях"</t>
  </si>
  <si>
    <t>02 1 06 00000</t>
  </si>
  <si>
    <t>Организация  питания в дошкольных учреждениях</t>
  </si>
  <si>
    <t>02 1 06 00001</t>
  </si>
  <si>
    <t>Основное мероприятие "Развитие качественного общего образования"</t>
  </si>
  <si>
    <t>02 1 02 00000</t>
  </si>
  <si>
    <t>Предоставление муниципальных услуг в муниципальных общеобразовательных организациях муниципального образования "Кош-Агачский район"</t>
  </si>
  <si>
    <t>02 1 02 00100</t>
  </si>
  <si>
    <t>Расходы на выплаты по оплате труда работников учреждений общего образования</t>
  </si>
  <si>
    <t>02 1 02 00110</t>
  </si>
  <si>
    <t>02 1 02 00190</t>
  </si>
  <si>
    <t>02 1 02 44300</t>
  </si>
  <si>
    <t>02 1 02 S4500</t>
  </si>
  <si>
    <t>Организация горячего питания в общеобразовательных организациях муниципального образования "Кош-Агачский район"</t>
  </si>
  <si>
    <t>02 1 06 00002</t>
  </si>
  <si>
    <t>Обеспечение горячим питанием учащихся из малообеспеченных семей</t>
  </si>
  <si>
    <t>02 1 06 S4400</t>
  </si>
  <si>
    <t>Создание условий для развития творческих способностей детей в системе дополнительного образования</t>
  </si>
  <si>
    <t>02 1 03 01100</t>
  </si>
  <si>
    <t>Расходы на выплаты по оплате труда работников МКОУ ДО «Кош-Агачский ЦДОД»</t>
  </si>
  <si>
    <t>02 1 03 01110</t>
  </si>
  <si>
    <t>02 1 03 01190</t>
  </si>
  <si>
    <t>Дополнительное образование детей физкультурно-спортивной направленности</t>
  </si>
  <si>
    <t>02 1 03 02100</t>
  </si>
  <si>
    <t>Расходы на выплаты по оплате труда работников МКОУ ДОД «Кош-Агачская ДЮСШ»</t>
  </si>
  <si>
    <t>02 1 03 02110</t>
  </si>
  <si>
    <t>02 1 03 02190</t>
  </si>
  <si>
    <t>Основное мероприятие "Организация и обеспечение отдыха и оздоровления детей"</t>
  </si>
  <si>
    <t>02 1 05 00000</t>
  </si>
  <si>
    <t>Мероприятия по проведению оздоровительной кампании детей</t>
  </si>
  <si>
    <t>02 1 05 00100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</si>
  <si>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</si>
  <si>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02 1 05 47698</t>
  </si>
  <si>
    <t xml:space="preserve">Пособия, компенсации и иные социальные выплаты
гражданам, кроме публичных нормативных обязательств
</t>
  </si>
  <si>
    <t>321</t>
  </si>
  <si>
    <t>Основное мероприятие "Развитие молодежной политики"</t>
  </si>
  <si>
    <t>02 1 07 00000</t>
  </si>
  <si>
    <t>02 1 07 02000</t>
  </si>
  <si>
    <t>Премии и гранты</t>
  </si>
  <si>
    <t>350</t>
  </si>
  <si>
    <t>Расходы на выплаты по оплате труда работников Управления образования МО «Кош-Агачский район»</t>
  </si>
  <si>
    <t xml:space="preserve">Фонд оплаты труда государственных (муниципальных) органов
</t>
  </si>
  <si>
    <t>Иные выплаты персоналу государственных (муниципальных) органов, за исключением фонда оплаты труда</t>
  </si>
  <si>
    <t>Материально – техническое обеспечение методкабинета</t>
  </si>
  <si>
    <t>Расходы на выплаты по оплате труда работников методкабинета</t>
  </si>
  <si>
    <t>Расходы на обеспечение функций работников методкабинета</t>
  </si>
  <si>
    <t>Централизованная бухгалтерия учреждений образования</t>
  </si>
  <si>
    <t>Материально – техническое обеспечение «ЦБ учреждений образования» муниципального образования «Кош-Агачский район"</t>
  </si>
  <si>
    <t>Расходы на выплаты по оплате труда работников МКУ "Централизованная бухгалтерия учреждений образования"</t>
  </si>
  <si>
    <t>Расходы на обеспечение функций МКУ «ЦБ учреждений образования» муниципального образования «Кош-Агачский район"</t>
  </si>
  <si>
    <t>Субсидии гражданам на приобретение жилья</t>
  </si>
  <si>
    <t>322</t>
  </si>
  <si>
    <t>Основное мероприятие "Меры социальной поддержки отдельным категориям граждан""</t>
  </si>
  <si>
    <t>Выплата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</si>
  <si>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Создание условий реализации муниципальной программы "Управление муниципальными финансами и имуществом"</t>
  </si>
  <si>
    <t xml:space="preserve">Материально – техническое обеспечение финансового отдела администрации МО «Кош-Агачский район» </t>
  </si>
  <si>
    <t xml:space="preserve">Расходы на выплаты по оплате труда работников финансового отдела администрации МО «Кош-Агачский район» </t>
  </si>
  <si>
    <t>Расходы на обеспечение функций Управления образования МО «Кош-Агачский район»</t>
  </si>
  <si>
    <t>Основное мероприятие "Обеспечение сбалансированности и устойчивости местного бюджета"</t>
  </si>
  <si>
    <t>04 1 12 00000</t>
  </si>
  <si>
    <t xml:space="preserve">Расходы на обслуживание муниципального долга </t>
  </si>
  <si>
    <t xml:space="preserve">Обслуживание муниципального долга </t>
  </si>
  <si>
    <t>730</t>
  </si>
  <si>
    <t>Осуществление первичного воинского учета на территориях, где отсутствуют военные комиссариаты</t>
  </si>
  <si>
    <t>04 1 12 51180</t>
  </si>
  <si>
    <t>Субвенции</t>
  </si>
  <si>
    <t>530</t>
  </si>
  <si>
    <t xml:space="preserve">Дотация на выравнивание бюджетной обеспеченности из Районного фонда финансовой поддержки </t>
  </si>
  <si>
    <t>Дотация на выравнивание бюджетной обеспеченности</t>
  </si>
  <si>
    <t>511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</si>
  <si>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</si>
  <si>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Иные межбюджетные трансферты бюджетам сельских поселений </t>
  </si>
  <si>
    <t>Иные межбюджетные трансферты</t>
  </si>
  <si>
    <t>540</t>
  </si>
  <si>
    <t>Основное мероприятие "Развитие агропромышленного комплекса"</t>
  </si>
  <si>
    <t>Осуществление государственных полномочий Республики Алтай в сфере обращения с безнадзорными собаками и кошками</t>
  </si>
  <si>
    <t>Закупка товаров, работ, услуг в целях капитального ремонта государственного (муниципального) имущества</t>
  </si>
  <si>
    <t>243</t>
  </si>
  <si>
    <t>03 2 01 00000</t>
  </si>
  <si>
    <t xml:space="preserve">Развитие транспортного обслуживания населения </t>
  </si>
  <si>
    <t>03 2 01 00100</t>
  </si>
  <si>
    <t>Расходы на выплаты по оплате труда работников МКУ «Трансстрой» МО «Кош-Агачский район»</t>
  </si>
  <si>
    <t>03 2 01 00110</t>
  </si>
  <si>
    <t>Расходы на обеспечение функций МКУ «Трансстрой» МО «Кош-Агачский район»</t>
  </si>
  <si>
    <t>03 2 01 00190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</si>
  <si>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</si>
  <si>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</si>
  <si>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Дорожный фонд муниципального образования</t>
  </si>
  <si>
    <t>03 2 01 00Д00</t>
  </si>
  <si>
    <t>Материально – техническое обеспечение Отдела строительства, архитектуры и земельно-имущественных отношений</t>
  </si>
  <si>
    <t>Расходы на выплаты по оплате труда работников Отдела строительства, архитектуры и земельно-имущественных отношений</t>
  </si>
  <si>
    <t>Расходы на обеспечение функций Отдела строительства, архитектуры и земельно-имущественных отношений</t>
  </si>
  <si>
    <t>Основное мероприятие "Развитие и модернизация объектов инфраструктуры"</t>
  </si>
  <si>
    <t>03 2 03 00000</t>
  </si>
  <si>
    <t>Материально – техническое обеспечение МКУ «Строй проект» МО «Кош-Агачский район»</t>
  </si>
  <si>
    <t>03 2 03 00100</t>
  </si>
  <si>
    <t>Расходы на выплаты по оплате труда работников МКУ «Строй проект» МО «Кош-Агачский район»</t>
  </si>
  <si>
    <t>03 2 03 00110</t>
  </si>
  <si>
    <t>03 2 03 00190</t>
  </si>
  <si>
    <t>Основное мероприятие "Развитие доступности услуг ЖКХ"</t>
  </si>
  <si>
    <t>03 2 02 00000</t>
  </si>
  <si>
    <t>Материально – техническое обеспечение МКУ «Тепло» МО «Кош-Агачский район»</t>
  </si>
  <si>
    <t>03 2 02 00100</t>
  </si>
  <si>
    <t>Расходы на выплаты по оплате труда работников МКУ «Тепло» МО «Кош-Агачский район»</t>
  </si>
  <si>
    <t>03 2 02 00110</t>
  </si>
  <si>
    <t>Расходы на обеспечение функций МКУ «Тепло» МО «Кош-Агачский район»</t>
  </si>
  <si>
    <t>03 2 02 00190</t>
  </si>
  <si>
    <t>Развитие и модернизация систем водоснабжения</t>
  </si>
  <si>
    <t>03 2 02 00200</t>
  </si>
  <si>
    <t>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</si>
  <si>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03 2 02 S1300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</si>
  <si>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</si>
  <si>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03 2 02 S1400</t>
  </si>
  <si>
    <t>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</si>
  <si>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03 2 02 41800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</si>
  <si>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</si>
  <si>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03 2 02 41900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</si>
  <si>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</si>
  <si>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</si>
  <si>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99 0 09 00000</t>
  </si>
  <si>
    <t>Председатель представительного органа муниципального образования</t>
  </si>
  <si>
    <t>99 0 09 17300</t>
  </si>
  <si>
    <t>Депутаты представительного органа муниципального образования</t>
  </si>
  <si>
    <t>99 0 09 17400</t>
  </si>
  <si>
    <t>Материально – техническое обеспечение Районного Совета депутатов муниципального образования «Кош-Агачский район»</t>
  </si>
  <si>
    <t>Расходы на выплаты по оплате труда работников Районного Совета депутатов муниципального образования «Кош-Агачский район»</t>
  </si>
  <si>
    <t>Расходы на обеспечение функций Районного Совета депутатов муниципального образования «Кош-Агачский район»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</si>
  <si>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</si>
  <si>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>123</t>
  </si>
  <si>
    <t>999</t>
  </si>
  <si>
    <t>Непрограммные направления деятельности Администрации муниципального образования "Кош-Агачский район"</t>
  </si>
  <si>
    <t>Глава муниципального образования</t>
  </si>
  <si>
    <t>99 0 09 99200</t>
  </si>
  <si>
    <t>Основное мероприятие "Обеспечение эффективности муниципального управления"</t>
  </si>
  <si>
    <t>Расходы на выплаты по оплате труда работников Администрации МО «Кош-Агачский район»</t>
  </si>
  <si>
    <t>Расходы на обеспечение функций работников Администрации МО «Кош-Агачский район»</t>
  </si>
  <si>
    <t>Основное мероприятие "Обеспечение жильем отдельных категорий граждан"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</si>
  <si>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</si>
  <si>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Основное мероприятие "Комплексные меры профилактики правонарушений в муниципальном образовании "Кош-Агачский район"</t>
  </si>
  <si>
    <t xml:space="preserve">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</si>
  <si>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 xml:space="preserve"> 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</si>
  <si>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>Мероприятия по уведомительной регистрации территориальных соглашений и коллективных договоров в рамках непрограммных расходов органов местного самоуправления</t>
  </si>
  <si>
    <t>99 0 09 43400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</si>
  <si>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</si>
  <si>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Резервный фонд администрации муниципального образования "Кош-Агачский район"</t>
  </si>
  <si>
    <t>Резервные средства</t>
  </si>
  <si>
    <t>870</t>
  </si>
  <si>
    <t>Материально – техническое обеспечение МКУ ЦБ МО «Кош-Агачский район»</t>
  </si>
  <si>
    <t>Расходы на выплаты по оплате труда работников МКУ ЦБ МО «Кош-Агачский район»</t>
  </si>
  <si>
    <t>Расходы на обеспечение функций МКУ ЦБ МО «Кош-Агачский район»</t>
  </si>
  <si>
    <t>Основное мероприятие "Развитие приоритетных отраслей экономики"</t>
  </si>
  <si>
    <t xml:space="preserve">Осуществление государственных полномочий по лицензированию розничной продажи алкогольной продукции </t>
  </si>
  <si>
    <t>Основное мероприятие "Развитие библиотечного обслуживания населения и архивного дела"</t>
  </si>
  <si>
    <t>Обеспечение полномочий в области архивного дела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</si>
  <si>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</si>
  <si>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</si>
  <si>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99 0 09 45400</t>
  </si>
  <si>
    <t>Материально – техническое обеспечение МКУ «По делам ГО,ЧС и вопросам ЕДДС»</t>
  </si>
  <si>
    <t>Расходы на выплаты по оплате труда работников МКУ «По делам ГО,ЧС и вопросам ЕДДС»</t>
  </si>
  <si>
    <t>Расходы на обеспечение функций МКУ «По делам ГО,ЧС и вопросам ЕДДС»</t>
  </si>
  <si>
    <t>Мероприятия по комплексным мерам по противодействию терроризму</t>
  </si>
  <si>
    <t>Мероприятия по комплексным мерам по противодействию экстремизму</t>
  </si>
  <si>
    <t>Материально – техническое обеспечение МКУ «Управление сельского хозяйства»</t>
  </si>
  <si>
    <t>Расходы на выплаты по оплате труда работников МКУ «Управление сельского хозяйства»</t>
  </si>
  <si>
    <t>Расходы на обеспечение функций МКУ «Управление сельского хозяйства»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</si>
  <si>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</si>
  <si>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Реализация мероприятий в сфере молодежной политики</t>
  </si>
  <si>
    <t>02 1 07 01000</t>
  </si>
  <si>
    <t>Создание условий для обеспечения сохранности объектов культурного наследия</t>
  </si>
  <si>
    <t>Доплаты к пенсиям  муниципальных служащих</t>
  </si>
  <si>
    <t>Иные пенсии, социальные доплаты к пенсиям</t>
  </si>
  <si>
    <t>312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</si>
  <si>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</si>
  <si>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Пособия, компенсации, меры социальной поддержки по публичным нормативным обязательствам</t>
  </si>
  <si>
    <t>313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</si>
  <si>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</si>
  <si>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Предоставление материальной помощи отдельным категориям граждан</t>
  </si>
  <si>
    <t>Основное мероприятие "Развитие физической культуры и спорта"</t>
  </si>
  <si>
    <t>Материально – техническое обеспечение МКУ «Дирекция ЦС «Дружба»</t>
  </si>
  <si>
    <t>Расходы на выплаты по оплате труда работников МКУ «Дирекция ЦС «Дружба»</t>
  </si>
  <si>
    <t>Расходы на обеспечение функций МКУ «Дирекция ЦС «Дружба»</t>
  </si>
  <si>
    <t>Мероприятия в сфере физической культуры и спорта</t>
  </si>
  <si>
    <t>Основное мероприятие "Развитие взаимодействия органов местного самоуправления и общества через СМИ"</t>
  </si>
  <si>
    <t>Освещение деятельности органов местного самоуправления муниципального образования "Кош-Агачский район" в средствах массовой информации</t>
  </si>
  <si>
    <t xml:space="preserve">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</si>
  <si>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621</t>
  </si>
  <si>
    <t>Условно утверждаемые расходы</t>
  </si>
  <si>
    <t>99  0 00 99999</t>
  </si>
  <si>
    <t xml:space="preserve">Итого расходов </t>
  </si>
  <si>
    <t>Муниципальная программа "Социальное развитие муниципальногоо образования "Кош-Агачский район"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</si>
  <si>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</si>
  <si>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611</t>
  </si>
  <si>
    <t>Внешкольные мероприятия в сфере развития системы дополнительного образования детей художественно-музыкальной направленности</t>
  </si>
  <si>
    <t>Подпрограмма "Развитие образования, спорта и молодежной политики"</t>
  </si>
  <si>
    <t>02 0 00 00000</t>
  </si>
  <si>
    <t>02 1 00 00000</t>
  </si>
  <si>
    <t>02 2 00 00000</t>
  </si>
  <si>
    <t>Подпрограмма "Развитие культуры"</t>
  </si>
  <si>
    <t>Расходы на обеспечение деятельности МКУ «ЦКИ» (в части обеспечения теплом)</t>
  </si>
  <si>
    <t>2021 год</t>
  </si>
  <si>
    <t>Расходы на обеспечение деятельности МКУ «ЦМБС»</t>
  </si>
  <si>
    <t>Подпрограмма "Повышение эффективности муниципального управления""</t>
  </si>
  <si>
    <t>02 3 00 00000</t>
  </si>
  <si>
    <t>Расходы на обеспечение охраны и безопасности муниципальных учреждений в сфере дошкольного образования</t>
  </si>
  <si>
    <t>02 1 01 00191</t>
  </si>
  <si>
    <t>Расходы на обеспечение деятельности учреждений общего образования (в части обеспечения теплом)</t>
  </si>
  <si>
    <t>02 1 02 00192</t>
  </si>
  <si>
    <t>02 1 02 00191</t>
  </si>
  <si>
    <t>Расходы на обеспечение дятельности учреждений общего образования</t>
  </si>
  <si>
    <t>Внешкольные мероприятия в сфере развития системы дополнительного образования детей эстетической и технической направленности</t>
  </si>
  <si>
    <t>Внешкольные мероприятия в сфере развития системы дополнительного образования детей физкультурно-спортивной направленности</t>
  </si>
  <si>
    <t>Расходы на выплаты премий главы администрации муниципального образования</t>
  </si>
  <si>
    <t xml:space="preserve">Основное мероприятие "Обеспечение эффективности муниципального управления  в Управлении образования администрации муниципального образования "Кош-Агачский район"» </t>
  </si>
  <si>
    <t xml:space="preserve">Взносы по обязательному социальному страхованию на выплаты денежного содержания и иные выплаты работникамгосударственных (муниципальных) органов
</t>
  </si>
  <si>
    <t>Обеспечение деятельности управления образования администрации МО "Кош-Агачский район"</t>
  </si>
  <si>
    <t>02 4 00 00000</t>
  </si>
  <si>
    <t>02 4 Л0 00000</t>
  </si>
  <si>
    <t>02 4 Л0 00100</t>
  </si>
  <si>
    <t>02 4 Л0 00110</t>
  </si>
  <si>
    <t>02 4 Л0 00190</t>
  </si>
  <si>
    <t>02 4 Л0 74000</t>
  </si>
  <si>
    <t>02 4 Л0 74100</t>
  </si>
  <si>
    <t>02 4 Л0 74110</t>
  </si>
  <si>
    <t>02 4 Л0 74190</t>
  </si>
  <si>
    <t>02 4 Т0 00000</t>
  </si>
  <si>
    <t>02 4 Т0 74100</t>
  </si>
  <si>
    <t>02 4 Т0 74110</t>
  </si>
  <si>
    <t>02 4 Т0 74190</t>
  </si>
  <si>
    <t>02 4 Ц0 00000</t>
  </si>
  <si>
    <t>02 4 Ц0 44300</t>
  </si>
  <si>
    <t>02 4 Ц0 74100</t>
  </si>
  <si>
    <t>02 4 Ц0 74110</t>
  </si>
  <si>
    <t>02 4 Ц0 74190</t>
  </si>
  <si>
    <t>Подпрограмма "Обеспечение социальной поддержки и защиты населения"</t>
  </si>
  <si>
    <t>Расходы на обеспечение деятельности МКУ «ЦБ учреждений образования» муниципального образования «Кош-Агачский район" (в части теплоснабжения)</t>
  </si>
  <si>
    <t>02 0 Ц0 74192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</si>
  <si>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</si>
  <si>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Муниципальная программа "Управление муниципальными финансами и муниципальным имуществом"</t>
  </si>
  <si>
    <t>Подпрограмма "Повышение качества управления муниципальными финансами""</t>
  </si>
  <si>
    <t>04 0 00 00000</t>
  </si>
  <si>
    <t>04 1 00 00000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</si>
  <si>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</si>
  <si>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Фонд оплаты труда учреждений 
</t>
  </si>
  <si>
    <t>02 4 Ц0 74191</t>
  </si>
  <si>
    <t>Расходы на обеспечение охраны и безопасности муниципальных учреждений в сфере общего образования</t>
  </si>
  <si>
    <t>Расходы на обеспечение охраны и безопасности МКУ "Централизованная бухгалтерия учреждений образования"</t>
  </si>
  <si>
    <t xml:space="preserve">Муниципальная программа "Развитие экономического потенциала и предпринимательства МО "Кош-Агачский район" </t>
  </si>
  <si>
    <t>Подпрограмма "Создание оптимальных условий по обеспечению реализации муниципальной программы"</t>
  </si>
  <si>
    <t>01 0 00 00000</t>
  </si>
  <si>
    <t>01 3 00 00000</t>
  </si>
  <si>
    <t>Повышение эффективности деятельности Администрации муниципального образования "Кош-Агачский район"</t>
  </si>
  <si>
    <t>01 4 00 00000</t>
  </si>
  <si>
    <t>01 4 Л9 00000</t>
  </si>
  <si>
    <t>01 4 Л9 99100</t>
  </si>
  <si>
    <t>01 4 Л9 99110</t>
  </si>
  <si>
    <t>01 4 Л9 99190</t>
  </si>
  <si>
    <t>Подпрограмма "Обеспечение безопасности населения"</t>
  </si>
  <si>
    <t>03 0 00 00000</t>
  </si>
  <si>
    <t>03 1 00 00000</t>
  </si>
  <si>
    <t>Муниципальная программа "Организация условий и повышение эффективности систем жизнеобеспечения МО "Кош-Агачский район"</t>
  </si>
  <si>
    <t>01 4 Т9 00000</t>
  </si>
  <si>
    <t>Материально – техническое обеспечение Управления образования МО «Кош-Агачский район» в сфере муниципальной службы</t>
  </si>
  <si>
    <t>Расходы на обеспечение прочих функций Управления образования МО «Кош-Агачский район»</t>
  </si>
  <si>
    <t>Расходы на обеспечение прочих функций Администрации МО "Кош-Агачский район"</t>
  </si>
  <si>
    <t>Расходы на выплаты по оплате труда работников прочего персонала Администрации МО "Кош-Агачский район"</t>
  </si>
  <si>
    <t>Расходы на обеспечение деятельности прочего персонала Администрации МО «Кош-Агачский район»</t>
  </si>
  <si>
    <t>Материально – техническое обеспечение прочего персонала Администрации МО "Кош-Агачский район"</t>
  </si>
  <si>
    <t>01 4 Т9 99100</t>
  </si>
  <si>
    <t>01 4 Т9 99110</t>
  </si>
  <si>
    <t>01 4 Т9 99190</t>
  </si>
  <si>
    <t>Централизация функций бюджетного учета</t>
  </si>
  <si>
    <t>01 4 Ц9 00000</t>
  </si>
  <si>
    <t>01 4 Ц9 99100</t>
  </si>
  <si>
    <t>01 4 Ц9 99110</t>
  </si>
  <si>
    <t>01 4 Ц9 99190</t>
  </si>
  <si>
    <t>01 1 00 00000</t>
  </si>
  <si>
    <t>Подпрограмма "Развитие конкурентоспособной экономики"</t>
  </si>
  <si>
    <t>Основное мероприятие "Защита населения и территории от чрезвычайных ситуаций природного и техногенного характера, пожарная безопасность в МО "Кош-Агачский район"</t>
  </si>
  <si>
    <t>Профилактика терроризма и экстремизма на территории МО "Кош-Агачский район"</t>
  </si>
  <si>
    <t>Подпрограмма "Создание условий для развития инвестиционного и информационного потенциала"</t>
  </si>
  <si>
    <t>02 2 01 00000</t>
  </si>
  <si>
    <t>02 2 01 00100</t>
  </si>
  <si>
    <t>02 2 01 00110</t>
  </si>
  <si>
    <t>02 2 01 00190</t>
  </si>
  <si>
    <t>02 2 01 00192</t>
  </si>
  <si>
    <t>02 2 02 00000</t>
  </si>
  <si>
    <t>02 2 02 00100</t>
  </si>
  <si>
    <t>02 2 02 00110</t>
  </si>
  <si>
    <t>02 2 02 00190</t>
  </si>
  <si>
    <t>04 1 01 00000</t>
  </si>
  <si>
    <t>04 1 01 S8500</t>
  </si>
  <si>
    <t>02 3 02 00000</t>
  </si>
  <si>
    <t>02 3 01 00000</t>
  </si>
  <si>
    <t>02 3 01 43895</t>
  </si>
  <si>
    <t>02 3 02 41100</t>
  </si>
  <si>
    <t>03 1 02 00000</t>
  </si>
  <si>
    <t>03 1 02 45500</t>
  </si>
  <si>
    <t>04 1 01 51200</t>
  </si>
  <si>
    <t>04 1 01 02100</t>
  </si>
  <si>
    <t>01 1 01 00000</t>
  </si>
  <si>
    <t>01 1 01 42900</t>
  </si>
  <si>
    <t>02 2 02 44900</t>
  </si>
  <si>
    <t>03 1 02 45300</t>
  </si>
  <si>
    <t>03 1 01 00000</t>
  </si>
  <si>
    <t>03 1 01 00100</t>
  </si>
  <si>
    <t>03 1 01 00110</t>
  </si>
  <si>
    <t>03 1 01 00190</t>
  </si>
  <si>
    <t>03 1 03 00000</t>
  </si>
  <si>
    <t>03 1 03 00100</t>
  </si>
  <si>
    <t>03 1 03 00200</t>
  </si>
  <si>
    <t>01 1 02 00000</t>
  </si>
  <si>
    <t>01 1 02 00100</t>
  </si>
  <si>
    <t>01 1 02 00110</t>
  </si>
  <si>
    <t>01 1 02 00190</t>
  </si>
  <si>
    <t>01 1 02 40100</t>
  </si>
  <si>
    <t>02 2 03 00000</t>
  </si>
  <si>
    <t>02 2 03 00100</t>
  </si>
  <si>
    <t>02 2 03 00110</t>
  </si>
  <si>
    <t>02 2 03 00190</t>
  </si>
  <si>
    <t>02 3 01 10000</t>
  </si>
  <si>
    <t>02 3 02 51350</t>
  </si>
  <si>
    <t>02 3 02 51760</t>
  </si>
  <si>
    <t>02 3 01 20000</t>
  </si>
  <si>
    <t>02 1 04 00000</t>
  </si>
  <si>
    <t>02 1 04 00100</t>
  </si>
  <si>
    <t>02 1 04 00110</t>
  </si>
  <si>
    <t>02 1 04 00190</t>
  </si>
  <si>
    <t>02 1 04 00200</t>
  </si>
  <si>
    <t>01 3 01 00000</t>
  </si>
  <si>
    <t>01 3 01 10000</t>
  </si>
  <si>
    <t>Муниципальная программа "Социальное развитие муниципального образования "Кош-Агачский район"</t>
  </si>
  <si>
    <t>Расходы на обеспечение деятельности МКУ «По делам ГО,ЧС и вопросам ЕДДС» (в части теплоснабжения)</t>
  </si>
  <si>
    <t>03 1 10 00192</t>
  </si>
  <si>
    <t>Расходы на обеспечение деятельности МКУ «Управление сельского хозяйства» ( в части теплоснабжения)</t>
  </si>
  <si>
    <t>Расходы на выплаты по оплате труда работников МКУ «Управление ТТП и туризма» МО «Кош-Агачский район»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</si>
  <si>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</si>
  <si>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 2 01 L4670</t>
  </si>
  <si>
    <t>Государственная поддержка отрасли культуры (субсидии на 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</si>
  <si>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02 2 02 L5194</t>
  </si>
  <si>
    <t>Реализация мероприятий по обеспечению жильем молодых семей (субсидии)</t>
  </si>
  <si>
    <t>02 3 02 L4970</t>
  </si>
  <si>
    <t>Основное мероприятие «Реализация регионального проекта «Успех каждого ребенка»</t>
  </si>
  <si>
    <t>02 1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</si>
  <si>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</si>
  <si>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02 1 E2 50972</t>
  </si>
  <si>
    <t>631</t>
  </si>
  <si>
    <t xml:space="preserve">Субсидии на возмещение недополученных доходов и (или) возмещение фактически понесенных затрат
</t>
  </si>
  <si>
    <t>01 1 02 40300</t>
  </si>
  <si>
    <t>02 3 02 L5672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</si>
  <si>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</si>
  <si>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Подпрограмма "Развитие инфраструктуры района"</t>
  </si>
  <si>
    <t>03 2 00 00000</t>
  </si>
  <si>
    <t>Основное мероприятие "Развитие транспортного, дорожного обслуживания, охрана окружающей среды и здоровья населения"</t>
  </si>
  <si>
    <t>03 4 00 00000</t>
  </si>
  <si>
    <t>03 4 Л9 00000</t>
  </si>
  <si>
    <t>Повышение эффективности муниципального управления в Отделе строительства, архитектуры и земельно-имущественных отношений администрации МО "Кош-Агачский район"</t>
  </si>
  <si>
    <t>03 4 Л9 07100</t>
  </si>
  <si>
    <t>03 4 Л9 07110</t>
  </si>
  <si>
    <t>03 4 Л9 07190</t>
  </si>
  <si>
    <t>02 2 А1 5567П</t>
  </si>
  <si>
    <t>Основное мероприятие «Реализация регионального проекта «Культурная среда»</t>
  </si>
  <si>
    <t>02 2 А1 00000</t>
  </si>
  <si>
    <t>Государственная поддержка отрасли культуры (субсидии на строительство сельского дома культуры на 150 мест в селе Новый Бельтир Кош-Агачского района</t>
  </si>
  <si>
    <t>Государственная поддержка отрасли культуры</t>
  </si>
  <si>
    <t>02 2 А1 55670</t>
  </si>
  <si>
    <t>03 2 01 00192</t>
  </si>
  <si>
    <t>Расходы на обеспечение деятельности МКУ «Трансстрой» МО «Кош-Агачский район» (в части обеспечения топливом)</t>
  </si>
  <si>
    <t>Расходы на обеспечение функций МКУ «Строй проект» МО «Кош-Агачский район»</t>
  </si>
  <si>
    <t>Расходы на обеспечение деятельности МКУ «Строй-Проект» МО «Кош-Агачский район» (в части обеспечения теплом)</t>
  </si>
  <si>
    <t>03 2 03 00192</t>
  </si>
  <si>
    <t>03 2 02 00192</t>
  </si>
  <si>
    <t>Расходы на обеспечение функций МКУ «Тепло» МО «Кош-Агачский район» (в части теплоснабжения)</t>
  </si>
  <si>
    <t>99 0 09 17100</t>
  </si>
  <si>
    <t>99 0 09 17110</t>
  </si>
  <si>
    <t xml:space="preserve">Непрограммные направления деятельности </t>
  </si>
  <si>
    <t>99 0 00 00000</t>
  </si>
  <si>
    <t xml:space="preserve">Создание условий для обеспечения функций органов местного самоуправления  </t>
  </si>
  <si>
    <t>Непрограммные направления деятельности</t>
  </si>
  <si>
    <t>Создание условий для обеспечения функций органов местного самоуправления МО "Кош-Агачский район"</t>
  </si>
  <si>
    <t>99 0 09 17190</t>
  </si>
  <si>
    <t>04 3 00 00000</t>
  </si>
  <si>
    <t>04 3 Л0 00000</t>
  </si>
  <si>
    <t>04 3 Л0 92110</t>
  </si>
  <si>
    <t>04 3 Л0 92190</t>
  </si>
  <si>
    <t>04 1 01 10000</t>
  </si>
  <si>
    <t>04 1 01 30000</t>
  </si>
  <si>
    <t>04 1 01 45900</t>
  </si>
  <si>
    <t>04 1 01 20000</t>
  </si>
  <si>
    <t>03 1 02 S2330</t>
  </si>
  <si>
    <t>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</si>
  <si>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</si>
  <si>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>Иные выплаты населению</t>
  </si>
  <si>
    <t>360</t>
  </si>
  <si>
    <t>03 1 03 S2400</t>
  </si>
  <si>
    <t>01 1 02 00192</t>
  </si>
  <si>
    <t>Обеспечение общих условий функционирования отраслей агропромышленного комплекса</t>
  </si>
  <si>
    <t>01 1 02 00200</t>
  </si>
  <si>
    <t xml:space="preserve">Популяризация предпринимательской деятельности </t>
  </si>
  <si>
    <t>01 1 01 01000</t>
  </si>
  <si>
    <t>сумма на 2020 год с изменениями</t>
  </si>
  <si>
    <t>итого с изменениями 2021 год</t>
  </si>
  <si>
    <t>2022 год</t>
  </si>
  <si>
    <t>02 2 02 L5193</t>
  </si>
  <si>
    <t>Комплектование книжных фондов муниципальных общедоступных библиотек</t>
  </si>
  <si>
    <t>(тыс.руб.)</t>
  </si>
  <si>
    <t>коды бюджетной классификации</t>
  </si>
  <si>
    <t>2</t>
  </si>
  <si>
    <t>3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</si>
  <si>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видов расходов классификации расходов бюджета муниципального образования "Кош-Агачский район" на плановый период 2021 и 2021 годов</t>
  </si>
  <si>
    <t>Код</t>
  </si>
  <si>
    <t>Дефицит бюджета</t>
  </si>
  <si>
    <t>Источники внутреннего финансирования  дефицита бюджета</t>
  </si>
  <si>
    <t>000 01 00 00 00 00 0000 000</t>
  </si>
  <si>
    <t>в том числе:</t>
  </si>
  <si>
    <t>Изменение остатков средств на счетах по учету средств бюджета</t>
  </si>
  <si>
    <t>Погашение бюджетами муниципальных районов  кредитов от других бюджетов бюджетной системы Российской Федерации в валюте Российской Федерации</t>
  </si>
  <si>
    <t xml:space="preserve">  092 01 03 01 00 05 0000 810</t>
  </si>
  <si>
    <t>Возврат бюджетных кредитов, предоставленных внутри страны в валюте Российской Федерации</t>
  </si>
  <si>
    <t>092 01 06 05 00 00 0000 600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</si>
  <si>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</si>
  <si>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 xml:space="preserve"> 092  01 06 05 01 05 0000 640</t>
  </si>
  <si>
    <t>Приложение №16 к решению Совета депутатов муниципального образования "Кош-Агачский район" "О бюджете муниципального образования "Кош-Агачский район" на 2020 год и на плановый период 2021 и 2022 годов" № 11-1 от 24.12.2019г.</t>
  </si>
  <si>
    <t>Расходы на обеспечение функций Финансового отдела администрации муниципального образования "Кош-Агачский район"</t>
  </si>
  <si>
    <t>03 1 01 00192</t>
  </si>
  <si>
    <t>02 4 Ц0 74192</t>
  </si>
  <si>
    <t>Приложение №13    к проекту решения Совета депутатов муниципального образования "Кош-Агачский район" "О бюджете муниципального образования "Кош-Агачский район" на 2021 год и на плановый период 2022 и 2023 годов" №   __-_ от __.12.2020г.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</si>
  <si>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</t>
  </si>
  <si>
    <t>Обеспечение деятельности учреждений культурно-досуговых услуг</t>
  </si>
  <si>
    <t>Закупка товаров, работ и услуг для государственных (муниципальных) нужд</t>
  </si>
  <si>
    <t>02 1 01 00101</t>
  </si>
  <si>
    <t>02 2 01 00102</t>
  </si>
  <si>
    <t>02 1 06 00200</t>
  </si>
  <si>
    <t xml:space="preserve"> Мероприятие "Качественное питание в образовательных учреждениях"</t>
  </si>
  <si>
    <t xml:space="preserve">Основное мероприятие "Обеспечение эффективности муниципального управления  в финансовом отделе администрации муниципального образования "Кош-Агачский район"» </t>
  </si>
  <si>
    <t>03 2 01 00102</t>
  </si>
  <si>
    <t>03 2 03 00102</t>
  </si>
  <si>
    <t>99 0 01 00000</t>
  </si>
  <si>
    <t>99 0 01 00100</t>
  </si>
  <si>
    <t>99 0 02 00000</t>
  </si>
  <si>
    <t>99 0 02 00100</t>
  </si>
  <si>
    <t>Расходы на обеспечение функций Председателя представительного органа муниципального образования</t>
  </si>
  <si>
    <t>Расходы на обеспечение функций депутата представительного органа муниципального образования</t>
  </si>
  <si>
    <t>99 0 03 00100</t>
  </si>
  <si>
    <t>99 0 03 00000</t>
  </si>
  <si>
    <t>03 1 01 00102</t>
  </si>
  <si>
    <t>01 1 02 00102</t>
  </si>
  <si>
    <t>03 2 02 00102</t>
  </si>
  <si>
    <t>01 1 01 00200</t>
  </si>
  <si>
    <t>Популяризация предпринимательской деятельности</t>
  </si>
  <si>
    <t>02 3 01 00200</t>
  </si>
  <si>
    <t>2023 год</t>
  </si>
  <si>
    <t>итого с изменениями 2022 год</t>
  </si>
  <si>
    <t>софин с мб на 21 год</t>
  </si>
  <si>
    <t>софин с мб на 22 год</t>
  </si>
  <si>
    <t>софин с мб на 23 год</t>
  </si>
  <si>
    <t>Обеспечение горячим питанием учащихся 5-11 классов муниципальных общеобразовательных организаций из малообеспеченных семей</t>
  </si>
  <si>
    <t>02 3 02 L5761</t>
  </si>
  <si>
    <t>Обеспечение комплексного развития сельских территорий (субсидии на улучшение жилищных условий граждан, проживающих в сельской местности)</t>
  </si>
  <si>
    <t>02 2 А1 55190</t>
  </si>
  <si>
    <t>02 2 А1 5519П</t>
  </si>
  <si>
    <t>субвенция</t>
  </si>
  <si>
    <t>субсидия</t>
  </si>
  <si>
    <t>Проведение Всероссийской переписи населения 2020 года.</t>
  </si>
  <si>
    <t>01 3 00 54690</t>
  </si>
  <si>
    <t>02 1 И8 R3214</t>
  </si>
  <si>
    <t>иные</t>
  </si>
  <si>
    <t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</si>
  <si>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 xml:space="preserve">дотация </t>
  </si>
  <si>
    <t>дотация на сбал</t>
  </si>
  <si>
    <t>нал и ненал</t>
  </si>
  <si>
    <t>итого</t>
  </si>
  <si>
    <t>проверка</t>
  </si>
  <si>
    <t>02 1 07 00200</t>
  </si>
  <si>
    <t>Айжана, 22 и 23 гг?</t>
  </si>
  <si>
    <t>02 2 01 00101</t>
  </si>
  <si>
    <t>02 2 02 00101</t>
  </si>
  <si>
    <t>Расходы на выплаты  работникам и на обеспечение деятельности МКУ «ЦМБС»</t>
  </si>
  <si>
    <t>Расходы на выплаты  работникам и на обеспечение деятельности МКУ «ЦКИ»</t>
  </si>
  <si>
    <t>Расходы на выплаты персоналу и обеспечение деятельности Отдела культуры Администрации МО «Кош-Агачский район»</t>
  </si>
  <si>
    <t>Расходы на выплаты персоналу и обеспечение деятельности дошкольного образования</t>
  </si>
  <si>
    <t>02 1 02 00101</t>
  </si>
  <si>
    <t>Расходы на выплаты персоналу и обеспечение деятельности учреждений общего образования</t>
  </si>
  <si>
    <t xml:space="preserve">Расходы на выплаты персоналу и обеспечение деятельности Управлении образования администрации муниципального образования "Кош-Агачский район"» </t>
  </si>
  <si>
    <t>Расходы на выплаты персоналу и обеспечение деятельности  «ЦБ учреждений образования» муниципального образования «Кош-Агачский район"</t>
  </si>
  <si>
    <t xml:space="preserve"> рез ф</t>
  </si>
  <si>
    <t>деп и проч сп</t>
  </si>
  <si>
    <t>03 2 01 00101</t>
  </si>
  <si>
    <t>Расходы на выплаты работникам и обеспечение деятельности МКУ «Трансстрой» МО «Кош-Агачский район»</t>
  </si>
  <si>
    <t xml:space="preserve">Расходы на выплаты работникам и обеспечение деятельности финансового отдела администрации МО «Кош-Агачский район» </t>
  </si>
  <si>
    <t>Расходы на выплаты работникам и обеспечение деятельности Отдела строительства, архитектуры и земельно-имущественных отношений</t>
  </si>
  <si>
    <t>03 2 03 00101</t>
  </si>
  <si>
    <t>Расходы на выплаты работникам и обеспечение деятельности МКУ «Строй проект» МО «Кош-Агачский район»</t>
  </si>
  <si>
    <t>03 2 02 00101</t>
  </si>
  <si>
    <t>Расходы на выплаты работникам и обеспечение деятельности МКУ «Тепло» МО «Кош-Агачский район»</t>
  </si>
  <si>
    <t>99 0 01 00101</t>
  </si>
  <si>
    <t>Расходы на выплаты работникам и обеспечение деятельности Председателя представительного органа муниципального образования</t>
  </si>
  <si>
    <t>99 0 02 00101</t>
  </si>
  <si>
    <t>99 0 03 00101</t>
  </si>
  <si>
    <t>Расходы на выплаты и обеспечение деятельности депутата представительного органа муниципального образования</t>
  </si>
  <si>
    <t>Расходы на выплаты работникам и обеспечение деятельности  Районного Совета депутатов муниципального образования «Кош-Агачский район»</t>
  </si>
  <si>
    <t>Материально – техническое обеспечение функций органов местного самоуправления</t>
  </si>
  <si>
    <t xml:space="preserve">Расходы на выплаты работков и обеспечения функций органов местного самоуправления  </t>
  </si>
  <si>
    <t>Подпрограмма "Повышение качества управления муниципальными финансами"</t>
  </si>
  <si>
    <t>Расходы на выплаты работникам и обеспечения деятельностиМКУ ЦБ МО «Кош-Агачский район»</t>
  </si>
  <si>
    <t>03 1 01 00101</t>
  </si>
  <si>
    <t>Расходы на выплаты работникам и обеспечения деятельности МКУ «По делам ГО,ЧС и вопросам ЕДДС»</t>
  </si>
  <si>
    <t>01 1 02 00101</t>
  </si>
  <si>
    <t>Расходы на выплаты работникам и обеспечения деятельности МКУ «Управление сельского хозяйства»</t>
  </si>
  <si>
    <t>02 2 03 00101</t>
  </si>
  <si>
    <t>Расходы на выплаты работникам и обеспечения деятельности МКУ «Дирекция ТТП» МО «Кош-Агачский район»</t>
  </si>
  <si>
    <t>02 1 03 00301</t>
  </si>
  <si>
    <t>02 1 01 00200</t>
  </si>
  <si>
    <t>02 1 01 00206</t>
  </si>
  <si>
    <t>Организация и проведение мероприятий</t>
  </si>
  <si>
    <t>02 1 02 00102</t>
  </si>
  <si>
    <t>02 1 02 00103</t>
  </si>
  <si>
    <t>02 1 02 00200</t>
  </si>
  <si>
    <t>02 1 02 00206</t>
  </si>
  <si>
    <t>02 1 02 S4600</t>
  </si>
  <si>
    <t>Реализация мероприятий по выплатам премий главы администрации муниципального образования</t>
  </si>
  <si>
    <t>02 1 03 00300</t>
  </si>
  <si>
    <t>02 1 03 00302</t>
  </si>
  <si>
    <t>02 1 03 00303</t>
  </si>
  <si>
    <t>01 3 01 00300</t>
  </si>
  <si>
    <t>Обеспечение деятельности бюджетных, автономных учреждений</t>
  </si>
  <si>
    <t>01 3 01 00304</t>
  </si>
  <si>
    <t>02 1 07 00201</t>
  </si>
  <si>
    <t>02 1 04 00201</t>
  </si>
  <si>
    <t>Проведение мероприятий</t>
  </si>
  <si>
    <t>02 1 06 00201</t>
  </si>
  <si>
    <t>02 1 06 00208</t>
  </si>
  <si>
    <t>организация и проведение мероприятий</t>
  </si>
  <si>
    <t>02 3 01 00205</t>
  </si>
  <si>
    <t>02 3 01 00204</t>
  </si>
  <si>
    <t>04 1 01 00200</t>
  </si>
  <si>
    <t>04 1 01 00202</t>
  </si>
  <si>
    <t>04 1 00 00200</t>
  </si>
  <si>
    <t>04 1 00 00202</t>
  </si>
  <si>
    <t>03 1 01 S2330</t>
  </si>
  <si>
    <t>03 1 02 00200</t>
  </si>
  <si>
    <t>Профилактика терроризма  на территории МО "Кош-Агачский район"</t>
  </si>
  <si>
    <t>01 1 02 00201</t>
  </si>
  <si>
    <t>01 1 01 00201</t>
  </si>
  <si>
    <t>01 0 Л0 00000</t>
  </si>
  <si>
    <t>01 0 Л0 00100</t>
  </si>
  <si>
    <t>01 0 Л0 00101</t>
  </si>
  <si>
    <t>01 0 Л0 45400</t>
  </si>
  <si>
    <t>01 0 Л0 43400</t>
  </si>
  <si>
    <t>Повышение эффективности деятельности Районного Совета депутатов муниципального образования «Кош-Агачский район»</t>
  </si>
  <si>
    <t>Обеспечение деятельности казенных учреждений</t>
  </si>
  <si>
    <t>Повышение эффективности муниципального управления</t>
  </si>
  <si>
    <t>02 0 Л0 00000</t>
  </si>
  <si>
    <t>02 0 Л0 00100</t>
  </si>
  <si>
    <t>02 0 Л0 00101</t>
  </si>
  <si>
    <t>02 0 Ц0 00000</t>
  </si>
  <si>
    <t>02 0 Ц0 00100</t>
  </si>
  <si>
    <t>02 0 Ц0 00101</t>
  </si>
  <si>
    <t>02 0 Ц0 00102</t>
  </si>
  <si>
    <t>02 0 Ц0 44300</t>
  </si>
  <si>
    <t>04 0 Ц0 S8500</t>
  </si>
  <si>
    <t>04 0 Л0 00000</t>
  </si>
  <si>
    <t>04 0 Л0 00100</t>
  </si>
  <si>
    <t>04 0 Л0 00101</t>
  </si>
  <si>
    <t>Повышение качества управления муниципальными финансами</t>
  </si>
  <si>
    <t>03 0 Л0 00000</t>
  </si>
  <si>
    <t>03 0 Л0 00100</t>
  </si>
  <si>
    <t>03 0 Л0 00101</t>
  </si>
  <si>
    <t>01 0 Ц0 00000</t>
  </si>
  <si>
    <t>01 0 Ц0 00100</t>
  </si>
  <si>
    <t>01 0 Ц0 00101</t>
  </si>
  <si>
    <t>02 1 01 00103</t>
  </si>
  <si>
    <t>04 1 01 00400</t>
  </si>
  <si>
    <t>04 1 01 00401</t>
  </si>
  <si>
    <t>Обеспечение сбалансированности и устойчивости местного бюджета</t>
  </si>
  <si>
    <t>04 1 01 00403</t>
  </si>
  <si>
    <t>04 1 01 00402</t>
  </si>
  <si>
    <t>Субсидии на выполнение работ по благоустройству территорий в рамках реализации проекта "Инициативы граждан"</t>
  </si>
  <si>
    <t>Профилактика терроризма и экстремизма  на территории МО "Кош-Агачский район"</t>
  </si>
  <si>
    <t>03 1 02 00207</t>
  </si>
  <si>
    <t>03 1 02 S2400</t>
  </si>
  <si>
    <t>03 2 03 40200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</si>
  <si>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видов расходов классификации расходов бюджета муниципального образования "Кош-Агачский район" на 2021 год</t>
  </si>
  <si>
    <t>Приложение №15    к проекту решения Совета депутатов муниципального образования "Кош-Агачский район" "О бюджете муниципального образования "Кош-Агачский район" на 2021 год и на плановый период 2022 и 2023 годов" №   __-_ от __.12.2020г.</t>
  </si>
  <si>
    <t>Приложение №16    к проекту решения Совета депутатов муниципального образования "Кош-Агачский район" "О бюджете муниципального образования "Кош-Агачский район" на 2021 год и на плановый период 2022 и 2023 годов" №   __-_ от __.12.2020г.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</si>
  <si>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видов расходов классификации расходов бюджета муниципального образования "Кош-Агачский район" на плановый период 2022 и 2023 годов</t>
  </si>
  <si>
    <t>Сумма, тыс. руб. 2023 год</t>
  </si>
  <si>
    <t>801 01 05 00 00 00 0000 000</t>
  </si>
  <si>
    <t xml:space="preserve"> 801 01 05 02 01 10 0000 510</t>
  </si>
  <si>
    <t>Увеличение прочих остатков денежных средств бюджетов  сельских поселений</t>
  </si>
  <si>
    <t>Уменьшение прочих остатков денежных средств бюджетов сельских поселений</t>
  </si>
  <si>
    <t xml:space="preserve"> 801  01 05 02 01 10 0000 610</t>
  </si>
  <si>
    <t>Сумма, тыс. руб. 2022год</t>
  </si>
  <si>
    <t>Сумма, тыс. руб. 2024 год</t>
  </si>
  <si>
    <t>Источники финансирования дефицита  бюджета муниципального образования  Кокоринское сельское поселение на 2022  год и на плановый период 2023 и 2024 годов</t>
  </si>
  <si>
    <t>Сельская администрация муниципального образования  Кокоринское сельское поселение</t>
  </si>
  <si>
    <t>Приложение 2 к Решению сельского Совета депутатов муниципального образования  Кокоринское сельское поселение  "О бюджете муниципального образования  Кокоринское сельское поселение  на 2022 год и на плановый период 2023 и 2024 годов" от 13.12.2021г. №21-1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</si>
</sst>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_р_._-;\-* #,##0_р_._-;_-* &quot;-&quot;??_р_.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color theme="1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28" fillId="0" borderId="0"/>
    <xf numFmtId="0" fontId="29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30" fillId="0" borderId="0"/>
    <xf numFmtId="166" fontId="30" fillId="0" borderId="0" applyBorder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30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0" fontId="7" fillId="0" borderId="0"/>
    <xf numFmtId="0" fontId="22" fillId="0" borderId="0"/>
    <xf numFmtId="0" fontId="7" fillId="0" borderId="0"/>
    <xf numFmtId="43" fontId="39" fillId="0" borderId="0" applyFont="0" applyFill="0" applyBorder="0" applyAlignment="0" applyProtection="0"/>
  </cellStyleXfs>
  <cellXfs count="212">
    <xf numFmtId="0" fontId="0" fillId="0" borderId="0" xfId="0"/>
    <xf numFmtId="0" fontId="12" fillId="0" borderId="0" xfId="1"/>
    <xf numFmtId="0" fontId="15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 vertical="center"/>
    </xf>
    <xf numFmtId="49" fontId="21" fillId="0" borderId="1" xfId="1" applyNumberFormat="1" applyFont="1" applyFill="1" applyBorder="1" applyAlignment="1">
      <alignment horizontal="center" vertical="center"/>
    </xf>
    <xf numFmtId="49" fontId="21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3" fontId="19" fillId="0" borderId="6" xfId="1" applyNumberFormat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center" vertical="center" wrapText="1"/>
    </xf>
    <xf numFmtId="4" fontId="18" fillId="0" borderId="1" xfId="2" applyNumberFormat="1" applyFont="1" applyFill="1" applyBorder="1" applyAlignment="1">
      <alignment horizontal="center" vertical="center"/>
    </xf>
    <xf numFmtId="4" fontId="19" fillId="0" borderId="1" xfId="2" applyNumberFormat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justify" vertical="center" wrapText="1"/>
    </xf>
    <xf numFmtId="49" fontId="19" fillId="0" borderId="1" xfId="3" applyNumberFormat="1" applyFont="1" applyFill="1" applyBorder="1" applyAlignment="1">
      <alignment horizontal="center" vertical="center" wrapText="1"/>
    </xf>
    <xf numFmtId="49" fontId="21" fillId="0" borderId="1" xfId="3" applyNumberFormat="1" applyFont="1" applyFill="1" applyBorder="1" applyAlignment="1">
      <alignment horizontal="center" vertical="center" wrapText="1"/>
    </xf>
    <xf numFmtId="4" fontId="24" fillId="0" borderId="1" xfId="2" applyNumberFormat="1" applyFont="1" applyFill="1" applyBorder="1" applyAlignment="1">
      <alignment horizontal="center" vertical="center"/>
    </xf>
    <xf numFmtId="4" fontId="12" fillId="0" borderId="1" xfId="1" applyNumberFormat="1" applyFill="1" applyBorder="1"/>
    <xf numFmtId="49" fontId="21" fillId="0" borderId="1" xfId="1" applyNumberFormat="1" applyFont="1" applyFill="1" applyBorder="1" applyAlignment="1">
      <alignment horizontal="center" vertical="center" shrinkToFit="1"/>
    </xf>
    <xf numFmtId="49" fontId="21" fillId="0" borderId="1" xfId="3" applyNumberFormat="1" applyFont="1" applyFill="1" applyBorder="1" applyAlignment="1">
      <alignment horizontal="center" vertical="center" shrinkToFit="1"/>
    </xf>
    <xf numFmtId="4" fontId="25" fillId="0" borderId="1" xfId="2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166" fontId="23" fillId="0" borderId="1" xfId="4" applyNumberFormat="1" applyFont="1" applyFill="1" applyBorder="1" applyAlignment="1">
      <alignment horizontal="center" vertical="center"/>
    </xf>
    <xf numFmtId="4" fontId="24" fillId="0" borderId="1" xfId="4" applyNumberFormat="1" applyFont="1" applyFill="1" applyBorder="1" applyAlignment="1">
      <alignment horizontal="center" vertical="center"/>
    </xf>
    <xf numFmtId="167" fontId="21" fillId="0" borderId="1" xfId="4" applyNumberFormat="1" applyFont="1" applyFill="1" applyBorder="1" applyAlignment="1">
      <alignment horizontal="center" vertical="center"/>
    </xf>
    <xf numFmtId="49" fontId="21" fillId="2" borderId="0" xfId="1" applyNumberFormat="1" applyFont="1" applyFill="1" applyAlignment="1">
      <alignment horizontal="center" vertical="center"/>
    </xf>
    <xf numFmtId="4" fontId="12" fillId="0" borderId="0" xfId="1" applyNumberFormat="1" applyFill="1"/>
    <xf numFmtId="0" fontId="19" fillId="0" borderId="1" xfId="3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top" wrapText="1"/>
    </xf>
    <xf numFmtId="0" fontId="19" fillId="0" borderId="1" xfId="1" applyFont="1" applyFill="1" applyBorder="1" applyAlignment="1">
      <alignment vertical="top" wrapText="1"/>
    </xf>
    <xf numFmtId="49" fontId="19" fillId="3" borderId="1" xfId="1" applyNumberFormat="1" applyFont="1" applyFill="1" applyBorder="1" applyAlignment="1">
      <alignment vertical="top" wrapText="1"/>
    </xf>
    <xf numFmtId="0" fontId="21" fillId="0" borderId="1" xfId="3" applyFont="1" applyFill="1" applyBorder="1" applyAlignment="1">
      <alignment vertical="top" wrapText="1"/>
    </xf>
    <xf numFmtId="0" fontId="21" fillId="0" borderId="1" xfId="1" applyFont="1" applyFill="1" applyBorder="1" applyAlignment="1">
      <alignment vertical="top" wrapText="1"/>
    </xf>
    <xf numFmtId="0" fontId="24" fillId="3" borderId="1" xfId="1" applyFont="1" applyFill="1" applyBorder="1" applyAlignment="1">
      <alignment vertical="top" wrapText="1"/>
    </xf>
    <xf numFmtId="0" fontId="21" fillId="0" borderId="1" xfId="3" applyFont="1" applyFill="1" applyBorder="1" applyAlignment="1">
      <alignment vertical="top" wrapText="1" shrinkToFit="1"/>
    </xf>
    <xf numFmtId="0" fontId="21" fillId="3" borderId="1" xfId="1" applyFont="1" applyFill="1" applyBorder="1" applyAlignment="1">
      <alignment vertical="top" wrapText="1"/>
    </xf>
    <xf numFmtId="0" fontId="21" fillId="0" borderId="1" xfId="1" applyFont="1" applyFill="1" applyBorder="1" applyAlignment="1">
      <alignment vertical="top"/>
    </xf>
    <xf numFmtId="0" fontId="21" fillId="2" borderId="0" xfId="1" applyFont="1" applyFill="1" applyAlignment="1">
      <alignment vertical="top"/>
    </xf>
    <xf numFmtId="49" fontId="19" fillId="0" borderId="1" xfId="0" applyNumberFormat="1" applyFont="1" applyFill="1" applyBorder="1" applyAlignment="1">
      <alignment horizontal="center" vertical="center" wrapText="1"/>
    </xf>
    <xf numFmtId="4" fontId="19" fillId="0" borderId="1" xfId="3" applyNumberFormat="1" applyFont="1" applyFill="1" applyBorder="1" applyAlignment="1">
      <alignment horizontal="center" vertical="center" wrapText="1"/>
    </xf>
    <xf numFmtId="4" fontId="19" fillId="0" borderId="6" xfId="2" applyNumberFormat="1" applyFont="1" applyFill="1" applyBorder="1" applyAlignment="1">
      <alignment horizontal="center" vertical="center"/>
    </xf>
    <xf numFmtId="4" fontId="24" fillId="0" borderId="6" xfId="2" applyNumberFormat="1" applyFont="1" applyFill="1" applyBorder="1" applyAlignment="1">
      <alignment horizontal="center" vertical="center"/>
    </xf>
    <xf numFmtId="4" fontId="25" fillId="0" borderId="6" xfId="2" applyNumberFormat="1" applyFont="1" applyFill="1" applyBorder="1" applyAlignment="1">
      <alignment horizontal="center" vertical="center"/>
    </xf>
    <xf numFmtId="4" fontId="24" fillId="0" borderId="6" xfId="1" applyNumberFormat="1" applyFont="1" applyFill="1" applyBorder="1" applyAlignment="1">
      <alignment horizontal="center"/>
    </xf>
    <xf numFmtId="4" fontId="24" fillId="0" borderId="6" xfId="4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justify" vertical="center" wrapText="1"/>
    </xf>
    <xf numFmtId="0" fontId="13" fillId="0" borderId="0" xfId="1" applyFont="1"/>
    <xf numFmtId="4" fontId="24" fillId="0" borderId="6" xfId="1" applyNumberFormat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left" vertical="top" wrapText="1"/>
    </xf>
    <xf numFmtId="0" fontId="12" fillId="0" borderId="0" xfId="1" applyAlignment="1">
      <alignment horizontal="center" vertical="top"/>
    </xf>
    <xf numFmtId="4" fontId="12" fillId="0" borderId="0" xfId="1" applyNumberFormat="1" applyFill="1" applyBorder="1"/>
    <xf numFmtId="0" fontId="12" fillId="0" borderId="0" xfId="1" applyBorder="1"/>
    <xf numFmtId="0" fontId="11" fillId="0" borderId="0" xfId="1" applyFont="1"/>
    <xf numFmtId="49" fontId="23" fillId="0" borderId="1" xfId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justify" vertical="center" wrapText="1"/>
    </xf>
    <xf numFmtId="0" fontId="23" fillId="0" borderId="1" xfId="1" applyFont="1" applyFill="1" applyBorder="1" applyAlignment="1">
      <alignment vertical="top"/>
    </xf>
    <xf numFmtId="4" fontId="16" fillId="0" borderId="0" xfId="2" applyNumberFormat="1" applyFont="1" applyFill="1" applyBorder="1" applyAlignment="1"/>
    <xf numFmtId="4" fontId="12" fillId="0" borderId="6" xfId="1" applyNumberFormat="1" applyFill="1" applyBorder="1"/>
    <xf numFmtId="4" fontId="24" fillId="0" borderId="6" xfId="2" applyNumberFormat="1" applyFont="1" applyFill="1" applyBorder="1" applyAlignment="1">
      <alignment horizontal="center" vertical="top"/>
    </xf>
    <xf numFmtId="0" fontId="21" fillId="2" borderId="0" xfId="1" applyFont="1" applyFill="1" applyBorder="1" applyAlignment="1">
      <alignment vertical="top"/>
    </xf>
    <xf numFmtId="49" fontId="21" fillId="2" borderId="0" xfId="1" applyNumberFormat="1" applyFont="1" applyFill="1" applyBorder="1" applyAlignment="1">
      <alignment horizontal="center" vertical="center"/>
    </xf>
    <xf numFmtId="4" fontId="11" fillId="0" borderId="0" xfId="1" applyNumberFormat="1" applyFont="1" applyFill="1" applyBorder="1" applyAlignment="1">
      <alignment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vertical="top" wrapText="1"/>
    </xf>
    <xf numFmtId="0" fontId="15" fillId="2" borderId="0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right" wrapText="1"/>
    </xf>
    <xf numFmtId="4" fontId="24" fillId="0" borderId="1" xfId="1" applyNumberFormat="1" applyFont="1" applyFill="1" applyBorder="1" applyAlignment="1">
      <alignment horizontal="center" vertical="center"/>
    </xf>
    <xf numFmtId="4" fontId="24" fillId="0" borderId="1" xfId="1" applyNumberFormat="1" applyFont="1" applyFill="1" applyBorder="1" applyAlignment="1">
      <alignment horizontal="center"/>
    </xf>
    <xf numFmtId="4" fontId="21" fillId="4" borderId="7" xfId="0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left" vertical="center" wrapText="1"/>
    </xf>
    <xf numFmtId="0" fontId="32" fillId="0" borderId="0" xfId="6" applyFont="1" applyFill="1"/>
    <xf numFmtId="0" fontId="32" fillId="0" borderId="0" xfId="6" applyFont="1" applyFill="1" applyAlignment="1">
      <alignment horizontal="right"/>
    </xf>
    <xf numFmtId="4" fontId="32" fillId="0" borderId="0" xfId="18" applyNumberFormat="1" applyFont="1" applyFill="1" applyAlignment="1">
      <alignment horizontal="right"/>
    </xf>
    <xf numFmtId="0" fontId="32" fillId="0" borderId="1" xfId="6" applyFont="1" applyFill="1" applyBorder="1"/>
    <xf numFmtId="0" fontId="33" fillId="0" borderId="1" xfId="6" applyFont="1" applyFill="1" applyBorder="1" applyAlignment="1">
      <alignment horizontal="center"/>
    </xf>
    <xf numFmtId="4" fontId="33" fillId="0" borderId="1" xfId="18" applyNumberFormat="1" applyFont="1" applyFill="1" applyBorder="1" applyAlignment="1">
      <alignment horizontal="center" wrapText="1"/>
    </xf>
    <xf numFmtId="0" fontId="33" fillId="0" borderId="1" xfId="6" applyFont="1" applyFill="1" applyBorder="1"/>
    <xf numFmtId="49" fontId="32" fillId="0" borderId="1" xfId="6" applyNumberFormat="1" applyFont="1" applyFill="1" applyBorder="1"/>
    <xf numFmtId="4" fontId="33" fillId="0" borderId="1" xfId="18" applyNumberFormat="1" applyFont="1" applyFill="1" applyBorder="1" applyAlignment="1">
      <alignment horizontal="center"/>
    </xf>
    <xf numFmtId="0" fontId="33" fillId="0" borderId="1" xfId="6" applyFont="1" applyFill="1" applyBorder="1" applyAlignment="1">
      <alignment horizontal="justify"/>
    </xf>
    <xf numFmtId="49" fontId="33" fillId="0" borderId="1" xfId="6" applyNumberFormat="1" applyFont="1" applyFill="1" applyBorder="1" applyAlignment="1">
      <alignment horizontal="center"/>
    </xf>
    <xf numFmtId="0" fontId="32" fillId="0" borderId="1" xfId="6" applyFont="1" applyFill="1" applyBorder="1" applyAlignment="1">
      <alignment horizontal="justify"/>
    </xf>
    <xf numFmtId="49" fontId="32" fillId="0" borderId="1" xfId="6" applyNumberFormat="1" applyFont="1" applyFill="1" applyBorder="1" applyAlignment="1">
      <alignment horizontal="center"/>
    </xf>
    <xf numFmtId="0" fontId="33" fillId="0" borderId="0" xfId="6" applyFont="1" applyFill="1"/>
    <xf numFmtId="4" fontId="32" fillId="0" borderId="1" xfId="18" applyNumberFormat="1" applyFont="1" applyFill="1" applyBorder="1" applyAlignment="1">
      <alignment horizontal="center"/>
    </xf>
    <xf numFmtId="0" fontId="32" fillId="0" borderId="1" xfId="28" applyFont="1" applyFill="1" applyBorder="1" applyAlignment="1">
      <alignment horizontal="justify"/>
    </xf>
    <xf numFmtId="49" fontId="32" fillId="0" borderId="1" xfId="28" applyNumberFormat="1" applyFont="1" applyFill="1" applyBorder="1" applyAlignment="1">
      <alignment horizontal="center"/>
    </xf>
    <xf numFmtId="0" fontId="32" fillId="0" borderId="0" xfId="6" applyFont="1" applyFill="1" applyBorder="1" applyAlignment="1">
      <alignment horizontal="center" wrapText="1"/>
    </xf>
    <xf numFmtId="4" fontId="32" fillId="0" borderId="0" xfId="18" applyNumberFormat="1" applyFont="1" applyFill="1" applyBorder="1" applyAlignment="1">
      <alignment horizontal="center" wrapText="1"/>
    </xf>
    <xf numFmtId="0" fontId="35" fillId="0" borderId="0" xfId="6" applyFont="1" applyFill="1" applyBorder="1" applyAlignment="1">
      <alignment horizontal="center" wrapText="1"/>
    </xf>
    <xf numFmtId="4" fontId="35" fillId="0" borderId="0" xfId="18" applyNumberFormat="1" applyFont="1" applyFill="1" applyBorder="1" applyAlignment="1">
      <alignment horizontal="center" wrapText="1"/>
    </xf>
    <xf numFmtId="0" fontId="33" fillId="0" borderId="0" xfId="6" applyFont="1" applyFill="1" applyBorder="1" applyAlignment="1">
      <alignment horizontal="center" wrapText="1"/>
    </xf>
    <xf numFmtId="4" fontId="33" fillId="0" borderId="0" xfId="18" applyNumberFormat="1" applyFont="1" applyFill="1" applyBorder="1" applyAlignment="1">
      <alignment horizontal="center" wrapText="1"/>
    </xf>
    <xf numFmtId="0" fontId="32" fillId="0" borderId="0" xfId="6" applyFont="1" applyFill="1" applyBorder="1"/>
    <xf numFmtId="4" fontId="32" fillId="0" borderId="0" xfId="18" applyNumberFormat="1" applyFont="1" applyFill="1" applyBorder="1" applyAlignment="1">
      <alignment horizontal="center"/>
    </xf>
    <xf numFmtId="4" fontId="32" fillId="0" borderId="0" xfId="18" applyNumberFormat="1" applyFont="1" applyFill="1" applyAlignment="1">
      <alignment horizontal="center"/>
    </xf>
    <xf numFmtId="4" fontId="32" fillId="0" borderId="0" xfId="18" applyNumberFormat="1" applyFont="1" applyFill="1"/>
    <xf numFmtId="4" fontId="19" fillId="5" borderId="6" xfId="2" applyNumberFormat="1" applyFont="1" applyFill="1" applyBorder="1" applyAlignment="1">
      <alignment horizontal="center" vertical="center"/>
    </xf>
    <xf numFmtId="4" fontId="18" fillId="6" borderId="1" xfId="2" applyNumberFormat="1" applyFont="1" applyFill="1" applyBorder="1" applyAlignment="1">
      <alignment horizontal="center" vertical="center"/>
    </xf>
    <xf numFmtId="4" fontId="19" fillId="6" borderId="1" xfId="2" applyNumberFormat="1" applyFont="1" applyFill="1" applyBorder="1" applyAlignment="1">
      <alignment horizontal="center" vertical="center"/>
    </xf>
    <xf numFmtId="4" fontId="18" fillId="6" borderId="6" xfId="2" applyNumberFormat="1" applyFont="1" applyFill="1" applyBorder="1" applyAlignment="1">
      <alignment horizontal="center" vertical="center"/>
    </xf>
    <xf numFmtId="4" fontId="19" fillId="6" borderId="6" xfId="2" applyNumberFormat="1" applyFont="1" applyFill="1" applyBorder="1" applyAlignment="1">
      <alignment horizontal="center" vertical="center"/>
    </xf>
    <xf numFmtId="4" fontId="19" fillId="7" borderId="1" xfId="2" applyNumberFormat="1" applyFont="1" applyFill="1" applyBorder="1" applyAlignment="1">
      <alignment horizontal="center" vertical="center"/>
    </xf>
    <xf numFmtId="4" fontId="25" fillId="7" borderId="1" xfId="2" applyNumberFormat="1" applyFont="1" applyFill="1" applyBorder="1" applyAlignment="1">
      <alignment horizontal="center" vertical="center"/>
    </xf>
    <xf numFmtId="4" fontId="24" fillId="5" borderId="6" xfId="2" applyNumberFormat="1" applyFont="1" applyFill="1" applyBorder="1" applyAlignment="1">
      <alignment horizontal="center" vertical="center"/>
    </xf>
    <xf numFmtId="4" fontId="24" fillId="6" borderId="6" xfId="2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top"/>
    </xf>
    <xf numFmtId="49" fontId="21" fillId="0" borderId="0" xfId="1" applyNumberFormat="1" applyFont="1" applyFill="1" applyBorder="1" applyAlignment="1">
      <alignment horizontal="center" vertical="center"/>
    </xf>
    <xf numFmtId="0" fontId="21" fillId="0" borderId="0" xfId="1" applyFont="1" applyFill="1" applyAlignment="1">
      <alignment vertical="top"/>
    </xf>
    <xf numFmtId="49" fontId="21" fillId="0" borderId="0" xfId="1" applyNumberFormat="1" applyFont="1" applyFill="1" applyAlignment="1">
      <alignment horizontal="center" vertical="center"/>
    </xf>
    <xf numFmtId="4" fontId="25" fillId="6" borderId="6" xfId="2" applyNumberFormat="1" applyFont="1" applyFill="1" applyBorder="1" applyAlignment="1">
      <alignment horizontal="center" vertical="center"/>
    </xf>
    <xf numFmtId="4" fontId="24" fillId="7" borderId="6" xfId="2" applyNumberFormat="1" applyFont="1" applyFill="1" applyBorder="1" applyAlignment="1">
      <alignment horizontal="center" vertical="center"/>
    </xf>
    <xf numFmtId="4" fontId="24" fillId="7" borderId="1" xfId="2" applyNumberFormat="1" applyFont="1" applyFill="1" applyBorder="1" applyAlignment="1">
      <alignment horizontal="center" vertical="center"/>
    </xf>
    <xf numFmtId="4" fontId="24" fillId="7" borderId="1" xfId="1" applyNumberFormat="1" applyFont="1" applyFill="1" applyBorder="1" applyAlignment="1">
      <alignment horizontal="center" vertical="center"/>
    </xf>
    <xf numFmtId="4" fontId="24" fillId="6" borderId="1" xfId="2" applyNumberFormat="1" applyFont="1" applyFill="1" applyBorder="1" applyAlignment="1">
      <alignment horizontal="center" vertical="center"/>
    </xf>
    <xf numFmtId="4" fontId="25" fillId="6" borderId="1" xfId="2" applyNumberFormat="1" applyFont="1" applyFill="1" applyBorder="1" applyAlignment="1">
      <alignment horizontal="center" vertical="center"/>
    </xf>
    <xf numFmtId="4" fontId="24" fillId="7" borderId="1" xfId="1" applyNumberFormat="1" applyFont="1" applyFill="1" applyBorder="1" applyAlignment="1">
      <alignment horizontal="center"/>
    </xf>
    <xf numFmtId="0" fontId="12" fillId="0" borderId="1" xfId="1" applyBorder="1"/>
    <xf numFmtId="0" fontId="13" fillId="0" borderId="1" xfId="1" applyFont="1" applyBorder="1"/>
    <xf numFmtId="0" fontId="12" fillId="0" borderId="1" xfId="1" applyBorder="1" applyAlignment="1">
      <alignment horizontal="center" vertical="top"/>
    </xf>
    <xf numFmtId="0" fontId="11" fillId="0" borderId="1" xfId="1" applyFont="1" applyBorder="1"/>
    <xf numFmtId="0" fontId="12" fillId="0" borderId="1" xfId="1" applyBorder="1" applyAlignment="1">
      <alignment horizontal="center"/>
    </xf>
    <xf numFmtId="0" fontId="12" fillId="0" borderId="0" xfId="1" applyBorder="1" applyAlignment="1">
      <alignment horizontal="center"/>
    </xf>
    <xf numFmtId="0" fontId="12" fillId="0" borderId="0" xfId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5" borderId="1" xfId="1" applyFill="1" applyBorder="1" applyAlignment="1">
      <alignment horizontal="center"/>
    </xf>
    <xf numFmtId="0" fontId="6" fillId="0" borderId="0" xfId="1" applyFont="1"/>
    <xf numFmtId="4" fontId="21" fillId="3" borderId="0" xfId="0" applyNumberFormat="1" applyFont="1" applyFill="1" applyBorder="1" applyAlignment="1">
      <alignment horizontal="center" vertical="center" wrapText="1"/>
    </xf>
    <xf numFmtId="0" fontId="12" fillId="0" borderId="1" xfId="1" applyFill="1" applyBorder="1"/>
    <xf numFmtId="0" fontId="5" fillId="0" borderId="0" xfId="1" applyFont="1"/>
    <xf numFmtId="4" fontId="12" fillId="0" borderId="0" xfId="1" applyNumberFormat="1" applyBorder="1" applyAlignment="1">
      <alignment horizontal="center"/>
    </xf>
    <xf numFmtId="4" fontId="17" fillId="0" borderId="0" xfId="1" applyNumberFormat="1" applyFont="1" applyFill="1" applyBorder="1" applyAlignment="1">
      <alignment horizontal="left" vertical="center" wrapText="1"/>
    </xf>
    <xf numFmtId="0" fontId="13" fillId="5" borderId="1" xfId="1" applyFont="1" applyFill="1" applyBorder="1" applyAlignment="1">
      <alignment horizontal="center"/>
    </xf>
    <xf numFmtId="4" fontId="5" fillId="0" borderId="0" xfId="1" applyNumberFormat="1" applyFont="1" applyFill="1" applyBorder="1"/>
    <xf numFmtId="4" fontId="5" fillId="0" borderId="1" xfId="1" applyNumberFormat="1" applyFont="1" applyFill="1" applyBorder="1"/>
    <xf numFmtId="4" fontId="12" fillId="0" borderId="0" xfId="1" applyNumberFormat="1" applyBorder="1"/>
    <xf numFmtId="4" fontId="12" fillId="0" borderId="0" xfId="1" applyNumberFormat="1"/>
    <xf numFmtId="0" fontId="12" fillId="6" borderId="1" xfId="1" applyFill="1" applyBorder="1"/>
    <xf numFmtId="0" fontId="12" fillId="5" borderId="1" xfId="1" applyFill="1" applyBorder="1" applyAlignment="1">
      <alignment horizontal="center" vertical="top"/>
    </xf>
    <xf numFmtId="0" fontId="4" fillId="0" borderId="0" xfId="1" applyFont="1"/>
    <xf numFmtId="0" fontId="3" fillId="0" borderId="0" xfId="1" applyFont="1"/>
    <xf numFmtId="0" fontId="12" fillId="7" borderId="1" xfId="1" applyFill="1" applyBorder="1"/>
    <xf numFmtId="0" fontId="12" fillId="7" borderId="1" xfId="1" applyFill="1" applyBorder="1" applyAlignment="1">
      <alignment horizontal="center"/>
    </xf>
    <xf numFmtId="4" fontId="21" fillId="6" borderId="1" xfId="2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/>
    <xf numFmtId="0" fontId="2" fillId="0" borderId="0" xfId="1" applyFont="1"/>
    <xf numFmtId="0" fontId="1" fillId="0" borderId="0" xfId="1" applyFont="1"/>
    <xf numFmtId="0" fontId="12" fillId="7" borderId="6" xfId="1" applyFill="1" applyBorder="1" applyAlignment="1">
      <alignment horizontal="center"/>
    </xf>
    <xf numFmtId="4" fontId="21" fillId="0" borderId="0" xfId="2" applyNumberFormat="1" applyFont="1" applyFill="1" applyBorder="1" applyAlignment="1">
      <alignment wrapText="1"/>
    </xf>
    <xf numFmtId="0" fontId="13" fillId="0" borderId="1" xfId="1" applyFont="1" applyFill="1" applyBorder="1"/>
    <xf numFmtId="0" fontId="13" fillId="7" borderId="1" xfId="1" applyFont="1" applyFill="1" applyBorder="1"/>
    <xf numFmtId="0" fontId="13" fillId="7" borderId="1" xfId="1" applyFont="1" applyFill="1" applyBorder="1" applyAlignment="1">
      <alignment horizontal="center"/>
    </xf>
    <xf numFmtId="4" fontId="13" fillId="0" borderId="0" xfId="1" applyNumberFormat="1" applyFont="1"/>
    <xf numFmtId="0" fontId="17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vertical="top" wrapText="1"/>
    </xf>
    <xf numFmtId="0" fontId="21" fillId="0" borderId="1" xfId="3" applyFont="1" applyFill="1" applyBorder="1" applyAlignment="1">
      <alignment horizontal="justify" vertical="center" wrapText="1"/>
    </xf>
    <xf numFmtId="4" fontId="21" fillId="0" borderId="1" xfId="2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justify" vertical="center" wrapText="1" shrinkToFit="1"/>
    </xf>
    <xf numFmtId="0" fontId="38" fillId="0" borderId="1" xfId="3" applyFont="1" applyFill="1" applyBorder="1" applyAlignment="1">
      <alignment vertical="top" wrapText="1" shrinkToFit="1"/>
    </xf>
    <xf numFmtId="43" fontId="21" fillId="0" borderId="0" xfId="30" applyNumberFormat="1" applyFont="1" applyFill="1" applyBorder="1" applyAlignment="1">
      <alignment horizontal="center" vertical="center" wrapText="1"/>
    </xf>
    <xf numFmtId="43" fontId="19" fillId="0" borderId="1" xfId="30" applyNumberFormat="1" applyFont="1" applyFill="1" applyBorder="1" applyAlignment="1">
      <alignment horizontal="center" vertical="center"/>
    </xf>
    <xf numFmtId="43" fontId="24" fillId="0" borderId="1" xfId="30" applyNumberFormat="1" applyFont="1" applyFill="1" applyBorder="1" applyAlignment="1">
      <alignment horizontal="center" vertical="center"/>
    </xf>
    <xf numFmtId="0" fontId="40" fillId="0" borderId="0" xfId="1" applyFont="1" applyFill="1" applyBorder="1" applyAlignment="1">
      <alignment horizontal="center"/>
    </xf>
    <xf numFmtId="43" fontId="40" fillId="0" borderId="0" xfId="30" applyNumberFormat="1" applyFont="1" applyFill="1" applyBorder="1" applyAlignment="1">
      <alignment horizontal="center"/>
    </xf>
    <xf numFmtId="4" fontId="40" fillId="0" borderId="0" xfId="1" applyNumberFormat="1" applyFont="1" applyFill="1" applyBorder="1" applyAlignment="1">
      <alignment horizontal="center"/>
    </xf>
    <xf numFmtId="0" fontId="40" fillId="0" borderId="1" xfId="1" applyFont="1" applyFill="1" applyBorder="1" applyAlignment="1">
      <alignment horizontal="center"/>
    </xf>
    <xf numFmtId="43" fontId="40" fillId="0" borderId="1" xfId="30" applyNumberFormat="1" applyFont="1" applyFill="1" applyBorder="1" applyAlignment="1">
      <alignment horizontal="center"/>
    </xf>
    <xf numFmtId="4" fontId="40" fillId="0" borderId="1" xfId="1" applyNumberFormat="1" applyFont="1" applyFill="1" applyBorder="1" applyAlignment="1">
      <alignment horizontal="center"/>
    </xf>
    <xf numFmtId="0" fontId="40" fillId="0" borderId="0" xfId="1" applyFont="1" applyFill="1" applyAlignment="1">
      <alignment horizontal="center"/>
    </xf>
    <xf numFmtId="43" fontId="40" fillId="0" borderId="0" xfId="30" applyNumberFormat="1" applyFont="1" applyFill="1" applyAlignment="1">
      <alignment horizontal="center"/>
    </xf>
    <xf numFmtId="4" fontId="40" fillId="0" borderId="1" xfId="1" applyNumberFormat="1" applyFont="1" applyFill="1" applyBorder="1" applyAlignment="1">
      <alignment horizontal="center" vertical="center"/>
    </xf>
    <xf numFmtId="0" fontId="40" fillId="0" borderId="1" xfId="1" applyFont="1" applyFill="1" applyBorder="1" applyAlignment="1">
      <alignment horizontal="center" vertical="center"/>
    </xf>
    <xf numFmtId="43" fontId="40" fillId="0" borderId="1" xfId="30" applyNumberFormat="1" applyFont="1" applyFill="1" applyBorder="1" applyAlignment="1">
      <alignment horizontal="center" vertical="center"/>
    </xf>
    <xf numFmtId="43" fontId="6" fillId="0" borderId="0" xfId="1" applyNumberFormat="1" applyFont="1"/>
    <xf numFmtId="49" fontId="32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justify"/>
    </xf>
    <xf numFmtId="0" fontId="32" fillId="0" borderId="1" xfId="6" applyFont="1" applyFill="1" applyBorder="1" applyAlignment="1">
      <alignment wrapText="1"/>
    </xf>
    <xf numFmtId="4" fontId="21" fillId="0" borderId="0" xfId="2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 wrapText="1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3" fontId="19" fillId="0" borderId="1" xfId="30" applyNumberFormat="1" applyFont="1" applyFill="1" applyBorder="1" applyAlignment="1">
      <alignment horizontal="center" vertical="center" wrapText="1"/>
    </xf>
    <xf numFmtId="4" fontId="19" fillId="0" borderId="3" xfId="1" applyNumberFormat="1" applyFont="1" applyFill="1" applyBorder="1" applyAlignment="1">
      <alignment horizontal="center" vertical="center" wrapText="1"/>
    </xf>
    <xf numFmtId="4" fontId="19" fillId="0" borderId="5" xfId="1" applyNumberFormat="1" applyFont="1" applyFill="1" applyBorder="1" applyAlignment="1">
      <alignment horizontal="center" vertical="center" wrapText="1"/>
    </xf>
    <xf numFmtId="4" fontId="19" fillId="0" borderId="10" xfId="1" applyNumberFormat="1" applyFont="1" applyFill="1" applyBorder="1" applyAlignment="1">
      <alignment horizontal="center" vertical="center" wrapText="1"/>
    </xf>
    <xf numFmtId="4" fontId="19" fillId="0" borderId="8" xfId="1" applyNumberFormat="1" applyFont="1" applyFill="1" applyBorder="1" applyAlignment="1">
      <alignment horizontal="center" vertical="center" wrapText="1"/>
    </xf>
    <xf numFmtId="4" fontId="19" fillId="6" borderId="3" xfId="1" applyNumberFormat="1" applyFont="1" applyFill="1" applyBorder="1" applyAlignment="1">
      <alignment horizontal="center" vertical="center" wrapText="1"/>
    </xf>
    <xf numFmtId="4" fontId="19" fillId="6" borderId="5" xfId="1" applyNumberFormat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4" fontId="19" fillId="0" borderId="9" xfId="1" applyNumberFormat="1" applyFont="1" applyFill="1" applyBorder="1" applyAlignment="1">
      <alignment horizontal="center" vertical="center" wrapText="1"/>
    </xf>
    <xf numFmtId="4" fontId="21" fillId="0" borderId="0" xfId="2" applyNumberFormat="1" applyFont="1" applyFill="1" applyBorder="1" applyAlignment="1">
      <alignment horizontal="left" wrapText="1"/>
    </xf>
    <xf numFmtId="0" fontId="17" fillId="0" borderId="0" xfId="1" applyFont="1" applyFill="1" applyBorder="1" applyAlignment="1">
      <alignment horizontal="left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4" fontId="19" fillId="0" borderId="2" xfId="1" applyNumberFormat="1" applyFont="1" applyFill="1" applyBorder="1" applyAlignment="1">
      <alignment horizontal="center" vertical="center" wrapText="1"/>
    </xf>
    <xf numFmtId="4" fontId="19" fillId="0" borderId="4" xfId="1" applyNumberFormat="1" applyFont="1" applyFill="1" applyBorder="1" applyAlignment="1">
      <alignment horizontal="center" vertical="center" wrapText="1"/>
    </xf>
    <xf numFmtId="0" fontId="21" fillId="0" borderId="0" xfId="6" applyFont="1" applyFill="1" applyAlignment="1">
      <alignment horizontal="left" vertical="top" wrapText="1"/>
    </xf>
    <xf numFmtId="0" fontId="33" fillId="0" borderId="0" xfId="6" applyFont="1" applyFill="1" applyAlignment="1">
      <alignment horizontal="center" wrapText="1"/>
    </xf>
    <xf numFmtId="0" fontId="33" fillId="0" borderId="1" xfId="6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</cellXfs>
  <cellStyles count="31">
    <cellStyle name="Excel Built-in Normal" xfId="5"/>
    <cellStyle name="Обычный" xfId="0" builtinId="0"/>
    <cellStyle name="Обычный 10" xfId="21"/>
    <cellStyle name="Обычный 10 2" xfId="27"/>
    <cellStyle name="Обычный 11" xfId="24"/>
    <cellStyle name="Обычный 12" xfId="26"/>
    <cellStyle name="Обычный 12 2" xfId="29"/>
    <cellStyle name="Обычный 2" xfId="1"/>
    <cellStyle name="Обычный 2 2" xfId="6"/>
    <cellStyle name="Обычный 3" xfId="7"/>
    <cellStyle name="Обычный 3 2" xfId="8"/>
    <cellStyle name="Обычный 4" xfId="9"/>
    <cellStyle name="Обычный 5" xfId="10"/>
    <cellStyle name="Обычный 6" xfId="3"/>
    <cellStyle name="Обычный 6 2" xfId="22"/>
    <cellStyle name="Обычный 7" xfId="11"/>
    <cellStyle name="Обычный 7 2" xfId="23"/>
    <cellStyle name="Обычный 8" xfId="12"/>
    <cellStyle name="Обычный 9" xfId="13"/>
    <cellStyle name="Обычный_источники" xfId="28"/>
    <cellStyle name="Пояснение 2" xfId="14"/>
    <cellStyle name="Тысячи [0]_перечис.11" xfId="15"/>
    <cellStyle name="Тысячи_перечис.11" xfId="16"/>
    <cellStyle name="Финансовый" xfId="30" builtinId="3"/>
    <cellStyle name="Финансовый 2" xfId="2"/>
    <cellStyle name="Финансовый 2 2" xfId="17"/>
    <cellStyle name="Финансовый 2 3" xfId="25"/>
    <cellStyle name="Финансовый 3" xfId="18"/>
    <cellStyle name="Финансовый 3 2" xfId="19"/>
    <cellStyle name="Финансовый 4" xfId="4"/>
    <cellStyle name="Финансовый 5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914"/>
  <sheetViews>
    <sheetView view="pageBreakPreview" zoomScale="106" zoomScaleSheetLayoutView="106" workbookViewId="0">
      <pane xSplit="1" ySplit="9" topLeftCell="B878" activePane="bottomRight" state="frozen"/>
      <selection pane="topRight" activeCell="B1" sqref="B1"/>
      <selection pane="bottomLeft" activeCell="A10" sqref="A10"/>
      <selection pane="bottomRight" activeCell="J875" sqref="A6:J875"/>
    </sheetView>
  </sheetViews>
  <sheetFormatPr defaultRowHeight="15"/>
  <cols>
    <col min="1" max="1" width="50.140625" style="111" customWidth="1"/>
    <col min="2" max="2" width="13" style="112" customWidth="1"/>
    <col min="3" max="3" width="7.28515625" style="112" customWidth="1"/>
    <col min="4" max="6" width="15.7109375" style="51" hidden="1" customWidth="1"/>
    <col min="7" max="7" width="18.140625" style="51" hidden="1" customWidth="1"/>
    <col min="8" max="8" width="19.140625" style="176" customWidth="1"/>
    <col min="9" max="9" width="15.42578125" style="176" customWidth="1"/>
    <col min="10" max="10" width="18" style="177" customWidth="1"/>
    <col min="11" max="11" width="13.85546875" style="1" customWidth="1"/>
    <col min="12" max="14" width="9.140625" style="1"/>
    <col min="15" max="15" width="2.7109375" style="1" customWidth="1"/>
    <col min="16" max="16" width="10.85546875" style="1" bestFit="1" customWidth="1"/>
    <col min="17" max="17" width="9.28515625" style="1" bestFit="1" customWidth="1"/>
    <col min="18" max="18" width="3.85546875" style="1" customWidth="1"/>
    <col min="19" max="19" width="11.85546875" style="1" customWidth="1"/>
    <col min="20" max="20" width="11.7109375" style="1" customWidth="1"/>
    <col min="21" max="16384" width="9.140625" style="1"/>
  </cols>
  <sheetData>
    <row r="1" spans="1:14" s="52" customFormat="1" ht="66" customHeight="1">
      <c r="A1" s="29"/>
      <c r="B1" s="2"/>
      <c r="C1" s="2"/>
      <c r="D1" s="151"/>
      <c r="E1" s="185" t="s">
        <v>488</v>
      </c>
      <c r="F1" s="185"/>
      <c r="G1" s="151"/>
      <c r="H1" s="185" t="s">
        <v>646</v>
      </c>
      <c r="I1" s="185"/>
      <c r="J1" s="185"/>
    </row>
    <row r="2" spans="1:14" s="52" customFormat="1" ht="3" customHeight="1">
      <c r="A2" s="29"/>
      <c r="B2" s="3"/>
      <c r="C2" s="3"/>
      <c r="D2" s="151"/>
      <c r="E2" s="151"/>
      <c r="F2" s="151"/>
      <c r="G2" s="151"/>
      <c r="H2" s="170"/>
      <c r="I2" s="170"/>
      <c r="J2" s="171"/>
    </row>
    <row r="3" spans="1:14" s="52" customFormat="1" ht="10.5" customHeight="1">
      <c r="A3" s="29"/>
      <c r="B3" s="3"/>
      <c r="C3" s="3"/>
      <c r="D3" s="158"/>
      <c r="E3" s="158"/>
      <c r="F3" s="134"/>
      <c r="G3" s="134"/>
      <c r="H3" s="170"/>
      <c r="I3" s="172"/>
      <c r="J3" s="171"/>
      <c r="L3" s="138">
        <f>L4-L5</f>
        <v>-74.927777777777692</v>
      </c>
    </row>
    <row r="4" spans="1:14" s="52" customFormat="1" ht="51.75" customHeight="1">
      <c r="A4" s="186" t="s">
        <v>647</v>
      </c>
      <c r="B4" s="186"/>
      <c r="C4" s="186"/>
      <c r="D4" s="186"/>
      <c r="E4" s="186"/>
      <c r="F4" s="186"/>
      <c r="G4" s="186"/>
      <c r="H4" s="186"/>
      <c r="I4" s="186"/>
      <c r="J4" s="186"/>
      <c r="L4" s="52">
        <v>1136.6500000000001</v>
      </c>
    </row>
    <row r="5" spans="1:14" s="52" customFormat="1" ht="10.5" customHeight="1">
      <c r="A5" s="187"/>
      <c r="B5" s="187"/>
      <c r="C5" s="187"/>
      <c r="D5" s="159"/>
      <c r="E5" s="159"/>
      <c r="F5" s="160">
        <f>SUBTOTAL(109,F10:F874)</f>
        <v>4008910.7599999947</v>
      </c>
      <c r="G5" s="67" t="s">
        <v>467</v>
      </c>
      <c r="H5" s="170"/>
      <c r="I5" s="160"/>
      <c r="J5" s="167"/>
      <c r="L5" s="130">
        <f>SUBTOTAL(109,L10:L874)</f>
        <v>1211.5777777777778</v>
      </c>
      <c r="M5" s="130">
        <f>SUBTOTAL(109,M10:M874)</f>
        <v>113.15959595959596</v>
      </c>
      <c r="N5" s="130">
        <f>SUBTOTAL(109,N10:N874)</f>
        <v>116.5989898989899</v>
      </c>
    </row>
    <row r="6" spans="1:14" ht="15" customHeight="1">
      <c r="A6" s="188" t="s">
        <v>0</v>
      </c>
      <c r="B6" s="189"/>
      <c r="C6" s="189"/>
      <c r="D6" s="64"/>
      <c r="E6" s="64"/>
      <c r="F6" s="64"/>
      <c r="G6" s="64"/>
      <c r="H6" s="190" t="s">
        <v>1</v>
      </c>
      <c r="I6" s="190" t="s">
        <v>514</v>
      </c>
      <c r="J6" s="191" t="s">
        <v>513</v>
      </c>
    </row>
    <row r="7" spans="1:14" ht="41.25" customHeight="1">
      <c r="A7" s="188"/>
      <c r="B7" s="189"/>
      <c r="C7" s="189"/>
      <c r="D7" s="190" t="s">
        <v>463</v>
      </c>
      <c r="E7" s="190" t="s">
        <v>1</v>
      </c>
      <c r="F7" s="190" t="s">
        <v>463</v>
      </c>
      <c r="G7" s="190" t="s">
        <v>464</v>
      </c>
      <c r="H7" s="190"/>
      <c r="I7" s="190"/>
      <c r="J7" s="191"/>
      <c r="K7" s="194"/>
      <c r="L7" s="192" t="s">
        <v>515</v>
      </c>
      <c r="M7" s="192" t="s">
        <v>516</v>
      </c>
      <c r="N7" s="192" t="s">
        <v>517</v>
      </c>
    </row>
    <row r="8" spans="1:14" ht="33" customHeight="1">
      <c r="A8" s="188"/>
      <c r="B8" s="4" t="s">
        <v>2</v>
      </c>
      <c r="C8" s="5" t="s">
        <v>3</v>
      </c>
      <c r="D8" s="190"/>
      <c r="E8" s="190"/>
      <c r="F8" s="190"/>
      <c r="G8" s="190"/>
      <c r="H8" s="190"/>
      <c r="I8" s="190"/>
      <c r="J8" s="191"/>
      <c r="K8" s="195"/>
      <c r="L8" s="193"/>
      <c r="M8" s="193"/>
      <c r="N8" s="193"/>
    </row>
    <row r="9" spans="1:14" ht="23.25" customHeight="1">
      <c r="A9" s="6">
        <v>1</v>
      </c>
      <c r="B9" s="7">
        <v>5</v>
      </c>
      <c r="C9" s="7">
        <v>6</v>
      </c>
      <c r="D9" s="9">
        <v>8</v>
      </c>
      <c r="E9" s="9">
        <v>9</v>
      </c>
      <c r="F9" s="9">
        <v>10</v>
      </c>
      <c r="G9" s="9"/>
      <c r="H9" s="173"/>
      <c r="I9" s="173"/>
      <c r="J9" s="174"/>
    </row>
    <row r="10" spans="1:14" ht="28.5" customHeight="1">
      <c r="A10" s="30" t="s">
        <v>309</v>
      </c>
      <c r="B10" s="7" t="s">
        <v>311</v>
      </c>
      <c r="C10" s="4"/>
      <c r="D10" s="17">
        <f>D16</f>
        <v>0</v>
      </c>
      <c r="E10" s="13">
        <f t="shared" ref="E10:E56" si="0">F10-D10</f>
        <v>5070.8899999999994</v>
      </c>
      <c r="F10" s="17">
        <f>F11+F28+F46+F50</f>
        <v>5070.8899999999994</v>
      </c>
      <c r="G10" s="17">
        <f>G16</f>
        <v>0</v>
      </c>
      <c r="H10" s="178">
        <f t="shared" ref="H10:H73" si="1">I10-G10</f>
        <v>5070.8899999999994</v>
      </c>
      <c r="I10" s="17">
        <f>I11+I28+I46+I50</f>
        <v>5070.8899999999994</v>
      </c>
      <c r="J10" s="169">
        <f>J11+J28+J46+J50</f>
        <v>5070.8899999999994</v>
      </c>
      <c r="K10" s="129"/>
    </row>
    <row r="11" spans="1:14" ht="51.75" hidden="1" customHeight="1">
      <c r="A11" s="30" t="s">
        <v>309</v>
      </c>
      <c r="B11" s="7" t="s">
        <v>311</v>
      </c>
      <c r="C11" s="4"/>
      <c r="D11" s="17">
        <f>D12</f>
        <v>0</v>
      </c>
      <c r="E11" s="13">
        <f t="shared" si="0"/>
        <v>0</v>
      </c>
      <c r="F11" s="17"/>
      <c r="G11" s="17">
        <f>G12</f>
        <v>0</v>
      </c>
      <c r="H11" s="178">
        <f t="shared" si="1"/>
        <v>0</v>
      </c>
      <c r="I11" s="180">
        <v>0</v>
      </c>
      <c r="J11" s="180">
        <v>0</v>
      </c>
      <c r="K11" s="129"/>
    </row>
    <row r="12" spans="1:14" ht="28.5" customHeight="1">
      <c r="A12" s="30" t="s">
        <v>309</v>
      </c>
      <c r="B12" s="7" t="s">
        <v>311</v>
      </c>
      <c r="C12" s="7"/>
      <c r="D12" s="17">
        <f>D13</f>
        <v>0</v>
      </c>
      <c r="E12" s="13">
        <f t="shared" si="0"/>
        <v>27453.93</v>
      </c>
      <c r="F12" s="17">
        <f>F13</f>
        <v>27453.93</v>
      </c>
      <c r="G12" s="17">
        <f>G13</f>
        <v>0</v>
      </c>
      <c r="H12" s="178">
        <f t="shared" si="1"/>
        <v>26429.85</v>
      </c>
      <c r="I12" s="17">
        <f t="shared" ref="I12:J14" si="2">I13</f>
        <v>26429.85</v>
      </c>
      <c r="J12" s="169">
        <f t="shared" si="2"/>
        <v>26429.85</v>
      </c>
      <c r="K12" s="129"/>
    </row>
    <row r="13" spans="1:14" ht="16.5" customHeight="1">
      <c r="A13" s="30" t="s">
        <v>309</v>
      </c>
      <c r="B13" s="7" t="s">
        <v>311</v>
      </c>
      <c r="C13" s="7"/>
      <c r="D13" s="17">
        <f>D14</f>
        <v>0</v>
      </c>
      <c r="E13" s="13">
        <f t="shared" si="0"/>
        <v>27453.93</v>
      </c>
      <c r="F13" s="17">
        <f>F14</f>
        <v>27453.93</v>
      </c>
      <c r="G13" s="17">
        <f>G14</f>
        <v>0</v>
      </c>
      <c r="H13" s="178">
        <f t="shared" si="1"/>
        <v>26429.85</v>
      </c>
      <c r="I13" s="17">
        <f t="shared" si="2"/>
        <v>26429.85</v>
      </c>
      <c r="J13" s="169">
        <f t="shared" si="2"/>
        <v>26429.85</v>
      </c>
    </row>
    <row r="14" spans="1:14" ht="39" customHeight="1">
      <c r="A14" s="28" t="s">
        <v>611</v>
      </c>
      <c r="B14" s="15" t="s">
        <v>606</v>
      </c>
      <c r="C14" s="4"/>
      <c r="D14" s="21"/>
      <c r="E14" s="13">
        <f t="shared" si="0"/>
        <v>27453.93</v>
      </c>
      <c r="F14" s="17">
        <f>F15</f>
        <v>27453.93</v>
      </c>
      <c r="G14" s="21"/>
      <c r="H14" s="178">
        <f t="shared" si="1"/>
        <v>26429.85</v>
      </c>
      <c r="I14" s="17">
        <f t="shared" si="2"/>
        <v>26429.85</v>
      </c>
      <c r="J14" s="169">
        <f t="shared" si="2"/>
        <v>26429.85</v>
      </c>
      <c r="K14" s="129"/>
      <c r="L14" s="47"/>
      <c r="M14" s="47"/>
      <c r="N14" s="47"/>
    </row>
    <row r="15" spans="1:14" ht="38.25" hidden="1" customHeight="1">
      <c r="A15" s="30" t="s">
        <v>313</v>
      </c>
      <c r="B15" s="7" t="s">
        <v>606</v>
      </c>
      <c r="C15" s="7"/>
      <c r="D15" s="17"/>
      <c r="E15" s="13">
        <f t="shared" si="0"/>
        <v>27453.93</v>
      </c>
      <c r="F15" s="17">
        <f>F16+F25</f>
        <v>27453.93</v>
      </c>
      <c r="G15" s="17"/>
      <c r="H15" s="178">
        <f t="shared" si="1"/>
        <v>26429.85</v>
      </c>
      <c r="I15" s="17">
        <f>I16+I25</f>
        <v>26429.85</v>
      </c>
      <c r="J15" s="169">
        <f>J16+J25</f>
        <v>26429.85</v>
      </c>
      <c r="K15" s="129"/>
    </row>
    <row r="16" spans="1:14" ht="51.75" hidden="1" customHeight="1">
      <c r="A16" s="30" t="s">
        <v>313</v>
      </c>
      <c r="B16" s="7" t="s">
        <v>606</v>
      </c>
      <c r="C16" s="15"/>
      <c r="D16" s="17"/>
      <c r="E16" s="13">
        <f t="shared" si="0"/>
        <v>3897.1700000000005</v>
      </c>
      <c r="F16" s="17">
        <f>F17</f>
        <v>3897.1700000000005</v>
      </c>
      <c r="G16" s="17"/>
      <c r="H16" s="178">
        <f t="shared" si="1"/>
        <v>3738.52</v>
      </c>
      <c r="I16" s="17">
        <f t="shared" ref="I16:J18" si="3">I17</f>
        <v>3738.52</v>
      </c>
      <c r="J16" s="169">
        <f t="shared" si="3"/>
        <v>3738.52</v>
      </c>
      <c r="K16" s="129"/>
    </row>
    <row r="17" spans="1:14" ht="25.5" customHeight="1">
      <c r="A17" s="28" t="s">
        <v>612</v>
      </c>
      <c r="B17" s="15" t="s">
        <v>607</v>
      </c>
      <c r="C17" s="4"/>
      <c r="D17" s="21"/>
      <c r="E17" s="13">
        <f t="shared" si="0"/>
        <v>3897.1700000000005</v>
      </c>
      <c r="F17" s="17">
        <f>F18</f>
        <v>3897.1700000000005</v>
      </c>
      <c r="G17" s="21"/>
      <c r="H17" s="178">
        <f t="shared" si="1"/>
        <v>3738.52</v>
      </c>
      <c r="I17" s="17">
        <f t="shared" si="3"/>
        <v>3738.52</v>
      </c>
      <c r="J17" s="169">
        <f t="shared" si="3"/>
        <v>3738.52</v>
      </c>
      <c r="K17" s="129"/>
      <c r="L17" s="47"/>
      <c r="M17" s="47"/>
      <c r="N17" s="47"/>
    </row>
    <row r="18" spans="1:14" ht="15" hidden="1" customHeight="1">
      <c r="A18" s="28" t="s">
        <v>612</v>
      </c>
      <c r="B18" s="7" t="s">
        <v>607</v>
      </c>
      <c r="C18" s="7"/>
      <c r="D18" s="17"/>
      <c r="E18" s="13">
        <f t="shared" si="0"/>
        <v>3897.1700000000005</v>
      </c>
      <c r="F18" s="17">
        <f>F19</f>
        <v>3897.1700000000005</v>
      </c>
      <c r="G18" s="17"/>
      <c r="H18" s="178">
        <f t="shared" si="1"/>
        <v>3738.52</v>
      </c>
      <c r="I18" s="17">
        <f t="shared" si="3"/>
        <v>3738.52</v>
      </c>
      <c r="J18" s="169">
        <f t="shared" si="3"/>
        <v>3738.52</v>
      </c>
      <c r="K18" s="129"/>
    </row>
    <row r="19" spans="1:14" ht="25.5" customHeight="1">
      <c r="A19" s="28" t="s">
        <v>562</v>
      </c>
      <c r="B19" s="15" t="s">
        <v>608</v>
      </c>
      <c r="C19" s="4"/>
      <c r="D19" s="21"/>
      <c r="E19" s="13">
        <f t="shared" si="0"/>
        <v>3897.1700000000005</v>
      </c>
      <c r="F19" s="17">
        <f>SUM(F20:F24)</f>
        <v>3897.1700000000005</v>
      </c>
      <c r="G19" s="21"/>
      <c r="H19" s="178">
        <f t="shared" si="1"/>
        <v>3738.52</v>
      </c>
      <c r="I19" s="17">
        <f>SUM(I20:I24)</f>
        <v>3738.52</v>
      </c>
      <c r="J19" s="169">
        <f>SUM(J20:J24)</f>
        <v>3738.52</v>
      </c>
      <c r="K19" s="129"/>
      <c r="L19" s="47"/>
      <c r="M19" s="47"/>
      <c r="N19" s="47"/>
    </row>
    <row r="20" spans="1:14" ht="25.5" customHeight="1">
      <c r="A20" s="28" t="s">
        <v>104</v>
      </c>
      <c r="B20" s="15" t="s">
        <v>608</v>
      </c>
      <c r="C20" s="4" t="s">
        <v>42</v>
      </c>
      <c r="D20" s="21"/>
      <c r="E20" s="13">
        <f t="shared" si="0"/>
        <v>2414.2799999999997</v>
      </c>
      <c r="F20" s="17">
        <f>2748.81-334.53</f>
        <v>2414.2799999999997</v>
      </c>
      <c r="G20" s="17"/>
      <c r="H20" s="178">
        <f t="shared" si="1"/>
        <v>2414.2799999999997</v>
      </c>
      <c r="I20" s="17">
        <f>2748.81-334.53</f>
        <v>2414.2799999999997</v>
      </c>
      <c r="J20" s="169">
        <f>2748.81-334.53</f>
        <v>2414.2799999999997</v>
      </c>
      <c r="K20" s="181">
        <f>I20-J20</f>
        <v>0</v>
      </c>
      <c r="L20" s="47"/>
      <c r="M20" s="47"/>
      <c r="N20" s="47"/>
    </row>
    <row r="21" spans="1:14" ht="25.5" customHeight="1">
      <c r="A21" s="28" t="s">
        <v>46</v>
      </c>
      <c r="B21" s="15" t="s">
        <v>608</v>
      </c>
      <c r="C21" s="4">
        <v>122</v>
      </c>
      <c r="D21" s="21"/>
      <c r="E21" s="13">
        <f t="shared" si="0"/>
        <v>588</v>
      </c>
      <c r="F21" s="17">
        <f>588</f>
        <v>588</v>
      </c>
      <c r="G21" s="17"/>
      <c r="H21" s="178">
        <f t="shared" si="1"/>
        <v>588</v>
      </c>
      <c r="I21" s="17">
        <f>588</f>
        <v>588</v>
      </c>
      <c r="J21" s="169">
        <f>588</f>
        <v>588</v>
      </c>
      <c r="K21" s="181">
        <f>I21-J21</f>
        <v>0</v>
      </c>
      <c r="L21" s="47"/>
      <c r="M21" s="47"/>
      <c r="N21" s="47"/>
    </row>
    <row r="22" spans="1:14" ht="56.25" customHeight="1">
      <c r="A22" s="28" t="s">
        <v>43</v>
      </c>
      <c r="B22" s="15" t="s">
        <v>608</v>
      </c>
      <c r="C22" s="4" t="s">
        <v>44</v>
      </c>
      <c r="D22" s="21"/>
      <c r="E22" s="13">
        <f t="shared" si="0"/>
        <v>729.11</v>
      </c>
      <c r="F22" s="17">
        <f>830.14-101.03</f>
        <v>729.11</v>
      </c>
      <c r="G22" s="17"/>
      <c r="H22" s="178">
        <f t="shared" si="1"/>
        <v>729.11</v>
      </c>
      <c r="I22" s="17">
        <f>830.14-101.03</f>
        <v>729.11</v>
      </c>
      <c r="J22" s="169">
        <f>830.14-101.03</f>
        <v>729.11</v>
      </c>
      <c r="K22" s="181">
        <f>I22-J22</f>
        <v>0</v>
      </c>
      <c r="L22" s="47"/>
      <c r="M22" s="47"/>
      <c r="N22" s="47"/>
    </row>
    <row r="23" spans="1:14" ht="26.25" customHeight="1">
      <c r="A23" s="161" t="s">
        <v>491</v>
      </c>
      <c r="B23" s="15" t="s">
        <v>608</v>
      </c>
      <c r="C23" s="4" t="s">
        <v>20</v>
      </c>
      <c r="D23" s="21"/>
      <c r="E23" s="13">
        <f t="shared" si="0"/>
        <v>158.65000000000043</v>
      </c>
      <c r="F23" s="17">
        <f>4316.51-4166.95-7.13+8.11+8.11</f>
        <v>158.65000000000043</v>
      </c>
      <c r="G23" s="17"/>
      <c r="H23" s="178">
        <f t="shared" si="1"/>
        <v>0</v>
      </c>
      <c r="I23" s="179">
        <v>0</v>
      </c>
      <c r="J23" s="169"/>
      <c r="K23" s="181">
        <f>I23-J23</f>
        <v>0</v>
      </c>
      <c r="L23" s="47"/>
      <c r="M23" s="47"/>
      <c r="N23" s="47"/>
    </row>
    <row r="24" spans="1:14" ht="29.25" customHeight="1">
      <c r="A24" s="28" t="s">
        <v>30</v>
      </c>
      <c r="B24" s="15" t="s">
        <v>608</v>
      </c>
      <c r="C24" s="4" t="s">
        <v>31</v>
      </c>
      <c r="D24" s="21"/>
      <c r="E24" s="13">
        <f t="shared" si="0"/>
        <v>7.13</v>
      </c>
      <c r="F24" s="17">
        <v>7.13</v>
      </c>
      <c r="G24" s="17"/>
      <c r="H24" s="178">
        <f t="shared" si="1"/>
        <v>7.13</v>
      </c>
      <c r="I24" s="17">
        <v>7.13</v>
      </c>
      <c r="J24" s="169">
        <v>7.13</v>
      </c>
      <c r="K24" s="181">
        <f>I24-J24</f>
        <v>0</v>
      </c>
      <c r="L24" s="47"/>
      <c r="M24" s="47"/>
      <c r="N24" s="47"/>
    </row>
    <row r="25" spans="1:14" ht="31.5" customHeight="1">
      <c r="A25" s="30" t="s">
        <v>564</v>
      </c>
      <c r="B25" s="7" t="s">
        <v>608</v>
      </c>
      <c r="C25" s="7"/>
      <c r="D25" s="17"/>
      <c r="E25" s="13">
        <f t="shared" si="0"/>
        <v>23556.76</v>
      </c>
      <c r="F25" s="17">
        <f>SUM(F26:F32)</f>
        <v>23556.76</v>
      </c>
      <c r="G25" s="17"/>
      <c r="H25" s="178">
        <f t="shared" si="1"/>
        <v>22691.329999999998</v>
      </c>
      <c r="I25" s="17">
        <f>SUM(I26:I32)</f>
        <v>22691.329999999998</v>
      </c>
      <c r="J25" s="169">
        <f>SUM(J26:J32)</f>
        <v>22691.329999999998</v>
      </c>
      <c r="K25" s="129"/>
    </row>
    <row r="26" spans="1:14" ht="30" customHeight="1">
      <c r="A26" s="28" t="s">
        <v>104</v>
      </c>
      <c r="B26" s="7" t="s">
        <v>608</v>
      </c>
      <c r="C26" s="15" t="s">
        <v>42</v>
      </c>
      <c r="D26" s="17"/>
      <c r="E26" s="13">
        <f t="shared" si="0"/>
        <v>16532.72</v>
      </c>
      <c r="F26" s="17">
        <f>18076.92-501.8-1505.4+463</f>
        <v>16532.72</v>
      </c>
      <c r="G26" s="17"/>
      <c r="H26" s="178">
        <f t="shared" si="1"/>
        <v>16532.72</v>
      </c>
      <c r="I26" s="17">
        <f>18076.92-501.8-1505.4+463</f>
        <v>16532.72</v>
      </c>
      <c r="J26" s="169">
        <f>18076.92-501.8-1505.4+463</f>
        <v>16532.72</v>
      </c>
      <c r="K26" s="181">
        <f t="shared" ref="K26:K32" si="4">I26-J26</f>
        <v>0</v>
      </c>
    </row>
    <row r="27" spans="1:14" ht="21" customHeight="1">
      <c r="A27" s="28" t="s">
        <v>105</v>
      </c>
      <c r="B27" s="7" t="s">
        <v>608</v>
      </c>
      <c r="C27" s="4" t="s">
        <v>47</v>
      </c>
      <c r="D27" s="17"/>
      <c r="E27" s="13">
        <f t="shared" si="0"/>
        <v>896</v>
      </c>
      <c r="F27" s="17">
        <v>896</v>
      </c>
      <c r="G27" s="17"/>
      <c r="H27" s="178">
        <f t="shared" si="1"/>
        <v>896</v>
      </c>
      <c r="I27" s="17">
        <v>896</v>
      </c>
      <c r="J27" s="169">
        <v>896</v>
      </c>
      <c r="K27" s="181">
        <f t="shared" si="4"/>
        <v>0</v>
      </c>
    </row>
    <row r="28" spans="1:14" ht="25.5" customHeight="1">
      <c r="A28" s="28" t="s">
        <v>304</v>
      </c>
      <c r="B28" s="7" t="s">
        <v>608</v>
      </c>
      <c r="C28" s="15" t="s">
        <v>44</v>
      </c>
      <c r="D28" s="17"/>
      <c r="E28" s="13">
        <f t="shared" si="0"/>
        <v>4992.8899999999994</v>
      </c>
      <c r="F28" s="17">
        <f>5459.23-151.54-454.63+139.83</f>
        <v>4992.8899999999994</v>
      </c>
      <c r="G28" s="17"/>
      <c r="H28" s="178">
        <f t="shared" si="1"/>
        <v>4992.8899999999994</v>
      </c>
      <c r="I28" s="17">
        <f>5459.23-151.54-454.63+139.83</f>
        <v>4992.8899999999994</v>
      </c>
      <c r="J28" s="169">
        <f>5459.23-151.54-454.63+139.83</f>
        <v>4992.8899999999994</v>
      </c>
      <c r="K28" s="181">
        <f t="shared" si="4"/>
        <v>0</v>
      </c>
    </row>
    <row r="29" spans="1:14" ht="31.5" customHeight="1">
      <c r="A29" s="28" t="s">
        <v>19</v>
      </c>
      <c r="B29" s="7" t="s">
        <v>608</v>
      </c>
      <c r="C29" s="7" t="s">
        <v>20</v>
      </c>
      <c r="D29" s="17"/>
      <c r="E29" s="13">
        <f t="shared" si="0"/>
        <v>865.4299999999987</v>
      </c>
      <c r="F29" s="17">
        <f>25559.19-16069.72-4853.06-896-269.72+8.11-653.34-1960.03</f>
        <v>865.4299999999987</v>
      </c>
      <c r="G29" s="17"/>
      <c r="H29" s="178">
        <f t="shared" si="1"/>
        <v>0</v>
      </c>
      <c r="I29" s="179">
        <v>0</v>
      </c>
      <c r="J29" s="169"/>
      <c r="K29" s="181">
        <f t="shared" si="4"/>
        <v>0</v>
      </c>
    </row>
    <row r="30" spans="1:14" ht="25.5" customHeight="1">
      <c r="A30" s="28" t="s">
        <v>30</v>
      </c>
      <c r="B30" s="7" t="s">
        <v>608</v>
      </c>
      <c r="C30" s="4" t="s">
        <v>31</v>
      </c>
      <c r="D30" s="17"/>
      <c r="E30" s="13">
        <f t="shared" si="0"/>
        <v>114</v>
      </c>
      <c r="F30" s="17">
        <v>114</v>
      </c>
      <c r="G30" s="17"/>
      <c r="H30" s="178">
        <f t="shared" si="1"/>
        <v>114</v>
      </c>
      <c r="I30" s="17">
        <v>114</v>
      </c>
      <c r="J30" s="169">
        <v>114</v>
      </c>
      <c r="K30" s="181">
        <f t="shared" si="4"/>
        <v>0</v>
      </c>
    </row>
    <row r="31" spans="1:14" ht="19.5" customHeight="1">
      <c r="A31" s="28" t="s">
        <v>32</v>
      </c>
      <c r="B31" s="7" t="s">
        <v>608</v>
      </c>
      <c r="C31" s="4" t="s">
        <v>33</v>
      </c>
      <c r="D31" s="17"/>
      <c r="E31" s="13">
        <f t="shared" si="0"/>
        <v>45.62</v>
      </c>
      <c r="F31" s="17">
        <v>45.62</v>
      </c>
      <c r="G31" s="17"/>
      <c r="H31" s="178">
        <f t="shared" si="1"/>
        <v>45.62</v>
      </c>
      <c r="I31" s="17">
        <v>45.62</v>
      </c>
      <c r="J31" s="169">
        <v>45.62</v>
      </c>
      <c r="K31" s="181">
        <f t="shared" si="4"/>
        <v>0</v>
      </c>
    </row>
    <row r="32" spans="1:14" ht="42" customHeight="1">
      <c r="A32" s="28" t="s">
        <v>21</v>
      </c>
      <c r="B32" s="7" t="s">
        <v>608</v>
      </c>
      <c r="C32" s="4" t="s">
        <v>22</v>
      </c>
      <c r="D32" s="17"/>
      <c r="E32" s="13">
        <f t="shared" si="0"/>
        <v>110.10000000000002</v>
      </c>
      <c r="F32" s="17">
        <f>269.72-114-45.62</f>
        <v>110.10000000000002</v>
      </c>
      <c r="G32" s="17"/>
      <c r="H32" s="178">
        <f t="shared" si="1"/>
        <v>110.10000000000002</v>
      </c>
      <c r="I32" s="17">
        <f>269.72-114-45.62</f>
        <v>110.10000000000002</v>
      </c>
      <c r="J32" s="169">
        <f>269.72-114-45.62</f>
        <v>110.10000000000002</v>
      </c>
      <c r="K32" s="181">
        <f t="shared" si="4"/>
        <v>0</v>
      </c>
    </row>
    <row r="33" spans="1:11" ht="15" customHeight="1">
      <c r="A33" s="28" t="s">
        <v>204</v>
      </c>
      <c r="B33" s="15" t="s">
        <v>610</v>
      </c>
      <c r="C33" s="4"/>
      <c r="D33" s="17">
        <f>SUBTOTAL(9,D34:D37)</f>
        <v>118.6</v>
      </c>
      <c r="E33" s="13">
        <f t="shared" si="0"/>
        <v>0.20000000000000284</v>
      </c>
      <c r="F33" s="17">
        <f>SUM(F34:F37)</f>
        <v>118.8</v>
      </c>
      <c r="G33" s="17"/>
      <c r="H33" s="178">
        <f t="shared" si="1"/>
        <v>118.8</v>
      </c>
      <c r="I33" s="17">
        <f>SUM(I34:I37)</f>
        <v>118.8</v>
      </c>
      <c r="J33" s="169">
        <f>SUM(J34:J37)</f>
        <v>118.8</v>
      </c>
      <c r="K33" s="129"/>
    </row>
    <row r="34" spans="1:11" ht="25.5" customHeight="1">
      <c r="A34" s="28" t="s">
        <v>104</v>
      </c>
      <c r="B34" s="15" t="s">
        <v>610</v>
      </c>
      <c r="C34" s="15" t="s">
        <v>42</v>
      </c>
      <c r="D34" s="17">
        <v>95</v>
      </c>
      <c r="E34" s="13">
        <f t="shared" si="0"/>
        <v>0</v>
      </c>
      <c r="F34" s="17">
        <v>95</v>
      </c>
      <c r="G34" s="17"/>
      <c r="H34" s="178">
        <f t="shared" si="1"/>
        <v>95</v>
      </c>
      <c r="I34" s="17">
        <v>95</v>
      </c>
      <c r="J34" s="169">
        <v>95</v>
      </c>
      <c r="K34" s="129" t="s">
        <v>523</v>
      </c>
    </row>
    <row r="35" spans="1:11" ht="25.5" customHeight="1">
      <c r="A35" s="28" t="s">
        <v>46</v>
      </c>
      <c r="B35" s="15" t="s">
        <v>610</v>
      </c>
      <c r="C35" s="15" t="s">
        <v>47</v>
      </c>
      <c r="D35" s="17"/>
      <c r="E35" s="13">
        <f t="shared" si="0"/>
        <v>0</v>
      </c>
      <c r="F35" s="17"/>
      <c r="G35" s="17"/>
      <c r="H35" s="178">
        <f t="shared" si="1"/>
        <v>0</v>
      </c>
      <c r="I35" s="180">
        <v>0</v>
      </c>
      <c r="J35" s="180">
        <v>0</v>
      </c>
      <c r="K35" s="129" t="s">
        <v>523</v>
      </c>
    </row>
    <row r="36" spans="1:11" ht="25.5" customHeight="1">
      <c r="A36" s="28" t="s">
        <v>276</v>
      </c>
      <c r="B36" s="15" t="s">
        <v>610</v>
      </c>
      <c r="C36" s="15" t="s">
        <v>44</v>
      </c>
      <c r="D36" s="17">
        <f>28.7-5.1</f>
        <v>23.6</v>
      </c>
      <c r="E36" s="13">
        <f t="shared" si="0"/>
        <v>0.19999999999999929</v>
      </c>
      <c r="F36" s="17">
        <v>23.8</v>
      </c>
      <c r="G36" s="17"/>
      <c r="H36" s="178">
        <f t="shared" si="1"/>
        <v>23.8</v>
      </c>
      <c r="I36" s="17">
        <v>23.8</v>
      </c>
      <c r="J36" s="169">
        <v>23.8</v>
      </c>
      <c r="K36" s="129" t="s">
        <v>523</v>
      </c>
    </row>
    <row r="37" spans="1:11" ht="15" customHeight="1">
      <c r="A37" s="28" t="s">
        <v>19</v>
      </c>
      <c r="B37" s="15" t="s">
        <v>610</v>
      </c>
      <c r="C37" s="15" t="s">
        <v>20</v>
      </c>
      <c r="D37" s="17"/>
      <c r="E37" s="13">
        <f t="shared" si="0"/>
        <v>0</v>
      </c>
      <c r="F37" s="17"/>
      <c r="G37" s="17"/>
      <c r="H37" s="178">
        <f t="shared" si="1"/>
        <v>0</v>
      </c>
      <c r="I37" s="180">
        <v>0</v>
      </c>
      <c r="J37" s="180">
        <v>0</v>
      </c>
      <c r="K37" s="129" t="s">
        <v>523</v>
      </c>
    </row>
    <row r="38" spans="1:11" ht="15" customHeight="1">
      <c r="A38" s="28" t="s">
        <v>218</v>
      </c>
      <c r="B38" s="7" t="s">
        <v>609</v>
      </c>
      <c r="C38" s="15"/>
      <c r="D38" s="17"/>
      <c r="E38" s="13">
        <f t="shared" si="0"/>
        <v>471.6</v>
      </c>
      <c r="F38" s="17">
        <f>SUM(F39:F41)</f>
        <v>471.6</v>
      </c>
      <c r="G38" s="17"/>
      <c r="H38" s="178">
        <f t="shared" si="1"/>
        <v>471.6</v>
      </c>
      <c r="I38" s="17">
        <f>SUM(I39:I41)</f>
        <v>471.6</v>
      </c>
      <c r="J38" s="169">
        <f>SUM(J39:J41)</f>
        <v>471.6</v>
      </c>
      <c r="K38" s="129"/>
    </row>
    <row r="39" spans="1:11" ht="25.5" customHeight="1">
      <c r="A39" s="28" t="s">
        <v>104</v>
      </c>
      <c r="B39" s="7" t="s">
        <v>609</v>
      </c>
      <c r="C39" s="15" t="s">
        <v>42</v>
      </c>
      <c r="D39" s="17"/>
      <c r="E39" s="13">
        <f t="shared" si="0"/>
        <v>362</v>
      </c>
      <c r="F39" s="17">
        <v>362</v>
      </c>
      <c r="G39" s="17"/>
      <c r="H39" s="178">
        <f t="shared" si="1"/>
        <v>362</v>
      </c>
      <c r="I39" s="17">
        <v>362</v>
      </c>
      <c r="J39" s="169">
        <v>362</v>
      </c>
      <c r="K39" s="129" t="s">
        <v>523</v>
      </c>
    </row>
    <row r="40" spans="1:11" ht="25.5" customHeight="1">
      <c r="A40" s="28" t="s">
        <v>276</v>
      </c>
      <c r="B40" s="7" t="s">
        <v>609</v>
      </c>
      <c r="C40" s="15" t="s">
        <v>44</v>
      </c>
      <c r="D40" s="17"/>
      <c r="E40" s="13">
        <f t="shared" si="0"/>
        <v>109.6</v>
      </c>
      <c r="F40" s="17">
        <v>109.6</v>
      </c>
      <c r="G40" s="17"/>
      <c r="H40" s="178">
        <f t="shared" si="1"/>
        <v>109.6</v>
      </c>
      <c r="I40" s="17">
        <v>109.6</v>
      </c>
      <c r="J40" s="169">
        <v>109.6</v>
      </c>
      <c r="K40" s="129" t="s">
        <v>523</v>
      </c>
    </row>
    <row r="41" spans="1:11" ht="38.25" customHeight="1">
      <c r="A41" s="28" t="s">
        <v>19</v>
      </c>
      <c r="B41" s="7" t="s">
        <v>609</v>
      </c>
      <c r="C41" s="15" t="s">
        <v>20</v>
      </c>
      <c r="D41" s="17"/>
      <c r="E41" s="13">
        <f t="shared" si="0"/>
        <v>0</v>
      </c>
      <c r="F41" s="17"/>
      <c r="G41" s="17"/>
      <c r="H41" s="178">
        <f t="shared" si="1"/>
        <v>0</v>
      </c>
      <c r="I41" s="180">
        <v>0</v>
      </c>
      <c r="J41" s="180">
        <v>0</v>
      </c>
      <c r="K41" s="129" t="s">
        <v>523</v>
      </c>
    </row>
    <row r="42" spans="1:11" ht="25.5" customHeight="1">
      <c r="A42" s="30" t="s">
        <v>333</v>
      </c>
      <c r="B42" s="16" t="s">
        <v>630</v>
      </c>
      <c r="C42" s="4"/>
      <c r="D42" s="17"/>
      <c r="E42" s="13">
        <f t="shared" si="0"/>
        <v>8390.1299999999992</v>
      </c>
      <c r="F42" s="17">
        <f>F43</f>
        <v>8390.1299999999992</v>
      </c>
      <c r="G42" s="17"/>
      <c r="H42" s="178">
        <f t="shared" si="1"/>
        <v>7984.2499999999991</v>
      </c>
      <c r="I42" s="17">
        <f>I43</f>
        <v>7984.2499999999991</v>
      </c>
      <c r="J42" s="169">
        <f>J43</f>
        <v>7984.2499999999991</v>
      </c>
      <c r="K42" s="129"/>
    </row>
    <row r="43" spans="1:11" ht="25.5" customHeight="1">
      <c r="A43" s="28" t="s">
        <v>210</v>
      </c>
      <c r="B43" s="16" t="s">
        <v>631</v>
      </c>
      <c r="C43" s="4"/>
      <c r="D43" s="17"/>
      <c r="E43" s="13">
        <f t="shared" si="0"/>
        <v>8390.1299999999992</v>
      </c>
      <c r="F43" s="17">
        <f>F44</f>
        <v>8390.1299999999992</v>
      </c>
      <c r="G43" s="17"/>
      <c r="H43" s="178">
        <f t="shared" si="1"/>
        <v>7984.2499999999991</v>
      </c>
      <c r="I43" s="17">
        <f>I44</f>
        <v>7984.2499999999991</v>
      </c>
      <c r="J43" s="169">
        <f>J44</f>
        <v>7984.2499999999991</v>
      </c>
      <c r="K43" s="129"/>
    </row>
    <row r="44" spans="1:11" ht="15" customHeight="1">
      <c r="A44" s="30" t="s">
        <v>566</v>
      </c>
      <c r="B44" s="16" t="s">
        <v>632</v>
      </c>
      <c r="C44" s="4"/>
      <c r="D44" s="17"/>
      <c r="E44" s="13">
        <f t="shared" si="0"/>
        <v>8390.1299999999992</v>
      </c>
      <c r="F44" s="17">
        <f>SUM(F45:F49)</f>
        <v>8390.1299999999992</v>
      </c>
      <c r="G44" s="17"/>
      <c r="H44" s="178">
        <f t="shared" si="1"/>
        <v>7984.2499999999991</v>
      </c>
      <c r="I44" s="17">
        <f>SUM(I45:I49)</f>
        <v>7984.2499999999991</v>
      </c>
      <c r="J44" s="169">
        <f>SUM(J45:J49)</f>
        <v>7984.2499999999991</v>
      </c>
      <c r="K44" s="129"/>
    </row>
    <row r="45" spans="1:11" ht="27.75" customHeight="1">
      <c r="A45" s="28" t="s">
        <v>10</v>
      </c>
      <c r="B45" s="16" t="s">
        <v>632</v>
      </c>
      <c r="C45" s="15" t="s">
        <v>11</v>
      </c>
      <c r="D45" s="17"/>
      <c r="E45" s="13">
        <f t="shared" si="0"/>
        <v>6072.1399999999994</v>
      </c>
      <c r="F45" s="17">
        <f>6239.41-167.27</f>
        <v>6072.1399999999994</v>
      </c>
      <c r="G45" s="17"/>
      <c r="H45" s="178">
        <f t="shared" si="1"/>
        <v>6072.1399999999994</v>
      </c>
      <c r="I45" s="17">
        <f>6239.41-167.27</f>
        <v>6072.1399999999994</v>
      </c>
      <c r="J45" s="169">
        <f>6239.41-167.27</f>
        <v>6072.1399999999994</v>
      </c>
      <c r="K45" s="181">
        <f>I45-J45</f>
        <v>0</v>
      </c>
    </row>
    <row r="46" spans="1:11" ht="53.25" customHeight="1">
      <c r="A46" s="32" t="s">
        <v>15</v>
      </c>
      <c r="B46" s="16" t="s">
        <v>632</v>
      </c>
      <c r="C46" s="15" t="s">
        <v>16</v>
      </c>
      <c r="D46" s="17"/>
      <c r="E46" s="13">
        <f t="shared" si="0"/>
        <v>78</v>
      </c>
      <c r="F46" s="17">
        <v>78</v>
      </c>
      <c r="G46" s="17"/>
      <c r="H46" s="178">
        <f t="shared" si="1"/>
        <v>78</v>
      </c>
      <c r="I46" s="17">
        <v>78</v>
      </c>
      <c r="J46" s="169">
        <v>78</v>
      </c>
      <c r="K46" s="181">
        <f>I46-J46</f>
        <v>0</v>
      </c>
    </row>
    <row r="47" spans="1:11" ht="28.5" customHeight="1">
      <c r="A47" s="28" t="s">
        <v>12</v>
      </c>
      <c r="B47" s="16" t="s">
        <v>632</v>
      </c>
      <c r="C47" s="15" t="s">
        <v>13</v>
      </c>
      <c r="D47" s="17"/>
      <c r="E47" s="13">
        <f t="shared" si="0"/>
        <v>1833.79</v>
      </c>
      <c r="F47" s="17">
        <f>1884.3-50.51</f>
        <v>1833.79</v>
      </c>
      <c r="G47" s="17"/>
      <c r="H47" s="178">
        <f t="shared" si="1"/>
        <v>1833.79</v>
      </c>
      <c r="I47" s="17">
        <f>1884.3-50.51</f>
        <v>1833.79</v>
      </c>
      <c r="J47" s="169">
        <f>1884.3-50.51</f>
        <v>1833.79</v>
      </c>
      <c r="K47" s="181">
        <f>I47-J47</f>
        <v>0</v>
      </c>
    </row>
    <row r="48" spans="1:11" ht="39.75" customHeight="1">
      <c r="A48" s="28" t="s">
        <v>19</v>
      </c>
      <c r="B48" s="16" t="s">
        <v>632</v>
      </c>
      <c r="C48" s="4">
        <v>244</v>
      </c>
      <c r="D48" s="17"/>
      <c r="E48" s="13">
        <f t="shared" si="0"/>
        <v>405.87999999999954</v>
      </c>
      <c r="F48" s="17">
        <f>8607.91-6072.14-78-1833.79-0.32-217.78</f>
        <v>405.87999999999954</v>
      </c>
      <c r="G48" s="17"/>
      <c r="H48" s="178">
        <f t="shared" si="1"/>
        <v>0</v>
      </c>
      <c r="I48" s="179">
        <v>0</v>
      </c>
      <c r="J48" s="169"/>
      <c r="K48" s="181">
        <f>I48-J48</f>
        <v>0</v>
      </c>
    </row>
    <row r="49" spans="1:14" ht="29.25" customHeight="1">
      <c r="A49" s="28" t="s">
        <v>32</v>
      </c>
      <c r="B49" s="16" t="s">
        <v>632</v>
      </c>
      <c r="C49" s="4" t="s">
        <v>33</v>
      </c>
      <c r="D49" s="17"/>
      <c r="E49" s="13">
        <f t="shared" si="0"/>
        <v>0.32</v>
      </c>
      <c r="F49" s="17">
        <v>0.32</v>
      </c>
      <c r="G49" s="17"/>
      <c r="H49" s="178">
        <f t="shared" si="1"/>
        <v>0.32</v>
      </c>
      <c r="I49" s="17">
        <v>0.32</v>
      </c>
      <c r="J49" s="169">
        <v>0.32</v>
      </c>
      <c r="K49" s="181">
        <f>I49-J49</f>
        <v>0</v>
      </c>
    </row>
    <row r="50" spans="1:14" ht="15" customHeight="1">
      <c r="A50" s="30" t="s">
        <v>339</v>
      </c>
      <c r="B50" s="7" t="s">
        <v>338</v>
      </c>
      <c r="C50" s="11"/>
      <c r="D50" s="17">
        <f>D51</f>
        <v>200</v>
      </c>
      <c r="E50" s="13">
        <f t="shared" si="0"/>
        <v>-200</v>
      </c>
      <c r="F50" s="17">
        <f t="shared" ref="F50:G54" si="5">F51</f>
        <v>0</v>
      </c>
      <c r="G50" s="17">
        <f t="shared" si="5"/>
        <v>200</v>
      </c>
      <c r="H50" s="178">
        <f t="shared" si="1"/>
        <v>-200</v>
      </c>
      <c r="I50" s="17">
        <f t="shared" ref="I50:J54" si="6">I51</f>
        <v>0</v>
      </c>
      <c r="J50" s="169">
        <f t="shared" si="6"/>
        <v>0</v>
      </c>
      <c r="K50" s="129"/>
      <c r="L50" s="47"/>
      <c r="M50" s="47"/>
      <c r="N50" s="47"/>
    </row>
    <row r="51" spans="1:14" ht="25.5" customHeight="1">
      <c r="A51" s="30" t="s">
        <v>339</v>
      </c>
      <c r="B51" s="7" t="s">
        <v>338</v>
      </c>
      <c r="C51" s="4"/>
      <c r="D51" s="17">
        <f>D52</f>
        <v>200</v>
      </c>
      <c r="E51" s="13">
        <f t="shared" si="0"/>
        <v>-200</v>
      </c>
      <c r="F51" s="17">
        <f t="shared" si="5"/>
        <v>0</v>
      </c>
      <c r="G51" s="17">
        <f t="shared" si="5"/>
        <v>200</v>
      </c>
      <c r="H51" s="178">
        <f t="shared" si="1"/>
        <v>-200</v>
      </c>
      <c r="I51" s="17">
        <f t="shared" si="6"/>
        <v>0</v>
      </c>
      <c r="J51" s="169">
        <f t="shared" si="6"/>
        <v>0</v>
      </c>
      <c r="K51" s="129"/>
    </row>
    <row r="52" spans="1:14" ht="18.75" customHeight="1">
      <c r="A52" s="30" t="s">
        <v>339</v>
      </c>
      <c r="B52" s="7" t="s">
        <v>338</v>
      </c>
      <c r="C52" s="7"/>
      <c r="D52" s="17">
        <f>D53</f>
        <v>200</v>
      </c>
      <c r="E52" s="13">
        <f t="shared" si="0"/>
        <v>-200</v>
      </c>
      <c r="F52" s="17">
        <f t="shared" si="5"/>
        <v>0</v>
      </c>
      <c r="G52" s="17">
        <f t="shared" si="5"/>
        <v>200</v>
      </c>
      <c r="H52" s="178">
        <f t="shared" si="1"/>
        <v>-200</v>
      </c>
      <c r="I52" s="17">
        <f t="shared" si="6"/>
        <v>0</v>
      </c>
      <c r="J52" s="169">
        <f t="shared" si="6"/>
        <v>0</v>
      </c>
      <c r="K52" s="129"/>
    </row>
    <row r="53" spans="1:14" ht="40.5" customHeight="1">
      <c r="A53" s="30" t="s">
        <v>339</v>
      </c>
      <c r="B53" s="7" t="s">
        <v>338</v>
      </c>
      <c r="C53" s="4"/>
      <c r="D53" s="17">
        <f>D54</f>
        <v>200</v>
      </c>
      <c r="E53" s="13">
        <f t="shared" si="0"/>
        <v>-200</v>
      </c>
      <c r="F53" s="17">
        <f t="shared" si="5"/>
        <v>0</v>
      </c>
      <c r="G53" s="17">
        <f t="shared" si="5"/>
        <v>200</v>
      </c>
      <c r="H53" s="178">
        <f t="shared" si="1"/>
        <v>-200</v>
      </c>
      <c r="I53" s="17">
        <f t="shared" si="6"/>
        <v>0</v>
      </c>
      <c r="J53" s="169">
        <f t="shared" si="6"/>
        <v>0</v>
      </c>
      <c r="K53" s="129"/>
    </row>
    <row r="54" spans="1:14" ht="15" customHeight="1">
      <c r="A54" s="28" t="s">
        <v>213</v>
      </c>
      <c r="B54" s="16" t="s">
        <v>362</v>
      </c>
      <c r="C54" s="4"/>
      <c r="D54" s="17">
        <f>D55</f>
        <v>200</v>
      </c>
      <c r="E54" s="13">
        <f t="shared" si="0"/>
        <v>-200</v>
      </c>
      <c r="F54" s="17">
        <f t="shared" si="5"/>
        <v>0</v>
      </c>
      <c r="G54" s="17">
        <f t="shared" si="5"/>
        <v>200</v>
      </c>
      <c r="H54" s="178">
        <f t="shared" si="1"/>
        <v>-200</v>
      </c>
      <c r="I54" s="17">
        <f t="shared" si="6"/>
        <v>0</v>
      </c>
      <c r="J54" s="169">
        <f t="shared" si="6"/>
        <v>0</v>
      </c>
      <c r="K54" s="129"/>
    </row>
    <row r="55" spans="1:14" ht="25.5" customHeight="1">
      <c r="A55" s="28" t="s">
        <v>213</v>
      </c>
      <c r="B55" s="16" t="s">
        <v>362</v>
      </c>
      <c r="C55" s="4"/>
      <c r="D55" s="17">
        <f>D60+D59</f>
        <v>200</v>
      </c>
      <c r="E55" s="13">
        <f t="shared" si="0"/>
        <v>-200</v>
      </c>
      <c r="F55" s="17">
        <f>F57</f>
        <v>0</v>
      </c>
      <c r="G55" s="17">
        <f>G60+G59</f>
        <v>200</v>
      </c>
      <c r="H55" s="178">
        <f t="shared" si="1"/>
        <v>-200</v>
      </c>
      <c r="I55" s="17">
        <f>I57</f>
        <v>0</v>
      </c>
      <c r="J55" s="169">
        <f>J57</f>
        <v>0</v>
      </c>
      <c r="K55" s="129"/>
    </row>
    <row r="56" spans="1:14" ht="25.5" customHeight="1">
      <c r="A56" s="14" t="s">
        <v>576</v>
      </c>
      <c r="B56" s="15" t="s">
        <v>510</v>
      </c>
      <c r="C56" s="15"/>
      <c r="D56" s="17"/>
      <c r="E56" s="13">
        <f t="shared" si="0"/>
        <v>0</v>
      </c>
      <c r="F56" s="17">
        <f>F57</f>
        <v>0</v>
      </c>
      <c r="G56" s="17"/>
      <c r="H56" s="178">
        <f t="shared" si="1"/>
        <v>0</v>
      </c>
      <c r="I56" s="17">
        <f>I57</f>
        <v>0</v>
      </c>
      <c r="J56" s="169">
        <f>J57</f>
        <v>0</v>
      </c>
      <c r="K56" s="129"/>
    </row>
    <row r="57" spans="1:14" ht="25.5" customHeight="1">
      <c r="A57" s="14" t="s">
        <v>591</v>
      </c>
      <c r="B57" s="15" t="s">
        <v>605</v>
      </c>
      <c r="C57" s="15"/>
      <c r="D57" s="17"/>
      <c r="E57" s="13"/>
      <c r="F57" s="17">
        <f>F58</f>
        <v>0</v>
      </c>
      <c r="G57" s="17"/>
      <c r="H57" s="178">
        <f t="shared" si="1"/>
        <v>0</v>
      </c>
      <c r="I57" s="17">
        <f>I58</f>
        <v>0</v>
      </c>
      <c r="J57" s="169">
        <f>J58</f>
        <v>0</v>
      </c>
      <c r="K57" s="129"/>
    </row>
    <row r="58" spans="1:14" ht="25.5" customHeight="1">
      <c r="A58" s="14" t="s">
        <v>19</v>
      </c>
      <c r="B58" s="15" t="s">
        <v>605</v>
      </c>
      <c r="C58" s="15" t="s">
        <v>20</v>
      </c>
      <c r="D58" s="17">
        <v>200</v>
      </c>
      <c r="E58" s="13">
        <f t="shared" ref="E58:E121" si="7">F58-D58</f>
        <v>-200</v>
      </c>
      <c r="F58" s="17"/>
      <c r="G58" s="17">
        <v>200</v>
      </c>
      <c r="H58" s="178">
        <f t="shared" si="1"/>
        <v>-200</v>
      </c>
      <c r="I58" s="180">
        <v>0</v>
      </c>
      <c r="J58" s="180">
        <v>0</v>
      </c>
      <c r="K58" s="181">
        <f>I58-J58</f>
        <v>0</v>
      </c>
    </row>
    <row r="59" spans="1:14" ht="29.25" customHeight="1">
      <c r="A59" s="14" t="s">
        <v>511</v>
      </c>
      <c r="B59" s="15" t="s">
        <v>461</v>
      </c>
      <c r="C59" s="15"/>
      <c r="D59" s="17">
        <v>200</v>
      </c>
      <c r="E59" s="13">
        <f t="shared" si="7"/>
        <v>-200</v>
      </c>
      <c r="F59" s="17"/>
      <c r="G59" s="17">
        <v>200</v>
      </c>
      <c r="H59" s="178">
        <f t="shared" si="1"/>
        <v>-200</v>
      </c>
      <c r="I59" s="180">
        <v>0</v>
      </c>
      <c r="J59" s="180">
        <v>0</v>
      </c>
      <c r="K59" s="129"/>
    </row>
    <row r="60" spans="1:14" ht="25.5" customHeight="1">
      <c r="A60" s="28" t="s">
        <v>214</v>
      </c>
      <c r="B60" s="16" t="s">
        <v>363</v>
      </c>
      <c r="C60" s="15"/>
      <c r="D60" s="17">
        <f>D61</f>
        <v>0</v>
      </c>
      <c r="E60" s="13">
        <f t="shared" si="7"/>
        <v>0</v>
      </c>
      <c r="F60" s="17">
        <f>F61</f>
        <v>0</v>
      </c>
      <c r="G60" s="17">
        <f>G61</f>
        <v>0</v>
      </c>
      <c r="H60" s="178">
        <f t="shared" si="1"/>
        <v>0</v>
      </c>
      <c r="I60" s="17">
        <f>I61</f>
        <v>0</v>
      </c>
      <c r="J60" s="169">
        <f>J61</f>
        <v>0</v>
      </c>
      <c r="K60" s="129"/>
    </row>
    <row r="61" spans="1:14" ht="25.5" customHeight="1">
      <c r="A61" s="28" t="s">
        <v>19</v>
      </c>
      <c r="B61" s="16" t="s">
        <v>363</v>
      </c>
      <c r="C61" s="15" t="s">
        <v>20</v>
      </c>
      <c r="D61" s="17"/>
      <c r="E61" s="13">
        <f t="shared" si="7"/>
        <v>0</v>
      </c>
      <c r="F61" s="17"/>
      <c r="G61" s="17"/>
      <c r="H61" s="178">
        <f t="shared" si="1"/>
        <v>0</v>
      </c>
      <c r="I61" s="180">
        <v>0</v>
      </c>
      <c r="J61" s="180">
        <v>0</v>
      </c>
      <c r="K61" s="181">
        <f>I61-J61</f>
        <v>0</v>
      </c>
    </row>
    <row r="62" spans="1:14" ht="25.5" customHeight="1">
      <c r="A62" s="28" t="s">
        <v>214</v>
      </c>
      <c r="B62" s="16" t="s">
        <v>363</v>
      </c>
      <c r="C62" s="15"/>
      <c r="D62" s="17">
        <f>D63</f>
        <v>0</v>
      </c>
      <c r="E62" s="13">
        <f t="shared" si="7"/>
        <v>0</v>
      </c>
      <c r="F62" s="17">
        <f>F63</f>
        <v>0</v>
      </c>
      <c r="G62" s="17">
        <f>G63</f>
        <v>0</v>
      </c>
      <c r="H62" s="178">
        <f t="shared" si="1"/>
        <v>0</v>
      </c>
      <c r="I62" s="17">
        <f>I63</f>
        <v>0</v>
      </c>
      <c r="J62" s="169">
        <f>J63</f>
        <v>0</v>
      </c>
      <c r="K62" s="129"/>
    </row>
    <row r="63" spans="1:14" ht="38.25" customHeight="1">
      <c r="A63" s="28" t="s">
        <v>19</v>
      </c>
      <c r="B63" s="16" t="s">
        <v>363</v>
      </c>
      <c r="C63" s="15" t="s">
        <v>20</v>
      </c>
      <c r="D63" s="17"/>
      <c r="E63" s="13">
        <f t="shared" si="7"/>
        <v>0</v>
      </c>
      <c r="F63" s="17"/>
      <c r="G63" s="17"/>
      <c r="H63" s="178">
        <f t="shared" si="1"/>
        <v>0</v>
      </c>
      <c r="I63" s="180">
        <v>0</v>
      </c>
      <c r="J63" s="180">
        <v>0</v>
      </c>
      <c r="K63" s="181">
        <f>I63-J63</f>
        <v>0</v>
      </c>
    </row>
    <row r="64" spans="1:14" ht="27.75" customHeight="1">
      <c r="A64" s="28" t="s">
        <v>137</v>
      </c>
      <c r="B64" s="15" t="s">
        <v>373</v>
      </c>
      <c r="C64" s="15"/>
      <c r="D64" s="17">
        <f>D65</f>
        <v>9504.1699999999983</v>
      </c>
      <c r="E64" s="13">
        <f t="shared" si="7"/>
        <v>-2831.7899999999991</v>
      </c>
      <c r="F64" s="17">
        <f>F65</f>
        <v>6672.3799999999992</v>
      </c>
      <c r="G64" s="17">
        <f>G65</f>
        <v>9504.1699999999983</v>
      </c>
      <c r="H64" s="178">
        <f t="shared" si="1"/>
        <v>-3024.5999999999985</v>
      </c>
      <c r="I64" s="17">
        <f>I65</f>
        <v>6479.57</v>
      </c>
      <c r="J64" s="169">
        <f>J65</f>
        <v>6479.57</v>
      </c>
      <c r="K64" s="129"/>
    </row>
    <row r="65" spans="1:11" ht="40.5" hidden="1" customHeight="1">
      <c r="A65" s="28" t="s">
        <v>137</v>
      </c>
      <c r="B65" s="15" t="s">
        <v>373</v>
      </c>
      <c r="C65" s="15"/>
      <c r="D65" s="17">
        <f>D66+D88+D85</f>
        <v>9504.1699999999983</v>
      </c>
      <c r="E65" s="13">
        <f t="shared" si="7"/>
        <v>-2831.7899999999991</v>
      </c>
      <c r="F65" s="17">
        <f>F66+F85</f>
        <v>6672.3799999999992</v>
      </c>
      <c r="G65" s="17">
        <f>G66+G88+G85</f>
        <v>9504.1699999999983</v>
      </c>
      <c r="H65" s="178">
        <f t="shared" si="1"/>
        <v>-3024.5999999999985</v>
      </c>
      <c r="I65" s="17">
        <f>I66+I85</f>
        <v>6479.57</v>
      </c>
      <c r="J65" s="169">
        <f>J66+J85</f>
        <v>6479.57</v>
      </c>
      <c r="K65" s="129"/>
    </row>
    <row r="66" spans="1:11" ht="32.25" customHeight="1">
      <c r="A66" s="28" t="s">
        <v>225</v>
      </c>
      <c r="B66" s="15" t="s">
        <v>374</v>
      </c>
      <c r="C66" s="15"/>
      <c r="D66" s="17">
        <f>D75+D78+D83</f>
        <v>8932.2699999999986</v>
      </c>
      <c r="E66" s="13">
        <f t="shared" si="7"/>
        <v>-2681.7899999999991</v>
      </c>
      <c r="F66" s="17">
        <f>F67+F73</f>
        <v>6250.48</v>
      </c>
      <c r="G66" s="17">
        <f>G75+G78+G83</f>
        <v>8932.2699999999986</v>
      </c>
      <c r="H66" s="178">
        <f t="shared" si="1"/>
        <v>-2874.5999999999985</v>
      </c>
      <c r="I66" s="17">
        <f>I67+I73</f>
        <v>6057.67</v>
      </c>
      <c r="J66" s="169">
        <f>J67+J73</f>
        <v>6057.67</v>
      </c>
      <c r="K66" s="129"/>
    </row>
    <row r="67" spans="1:11" ht="33" customHeight="1">
      <c r="A67" s="30" t="s">
        <v>570</v>
      </c>
      <c r="B67" s="15" t="s">
        <v>569</v>
      </c>
      <c r="C67" s="15"/>
      <c r="D67" s="17"/>
      <c r="E67" s="13">
        <f t="shared" si="7"/>
        <v>6007.9199999999992</v>
      </c>
      <c r="F67" s="17">
        <f>SUM(F68:F72)</f>
        <v>6007.9199999999992</v>
      </c>
      <c r="G67" s="17"/>
      <c r="H67" s="178">
        <f t="shared" si="1"/>
        <v>5815.11</v>
      </c>
      <c r="I67" s="17">
        <f>SUM(I68:I72)</f>
        <v>5815.11</v>
      </c>
      <c r="J67" s="169">
        <f>SUM(J68:J72)</f>
        <v>5815.11</v>
      </c>
      <c r="K67" s="129"/>
    </row>
    <row r="68" spans="1:11" ht="42" customHeight="1">
      <c r="A68" s="161" t="s">
        <v>489</v>
      </c>
      <c r="B68" s="15" t="s">
        <v>569</v>
      </c>
      <c r="C68" s="15" t="s">
        <v>11</v>
      </c>
      <c r="D68" s="17"/>
      <c r="E68" s="13">
        <f t="shared" si="7"/>
        <v>4283.55</v>
      </c>
      <c r="F68" s="17">
        <f>7503.43-3219.88</f>
        <v>4283.55</v>
      </c>
      <c r="G68" s="17"/>
      <c r="H68" s="178">
        <f t="shared" si="1"/>
        <v>4283.55</v>
      </c>
      <c r="I68" s="17">
        <f>7503.43-3219.88</f>
        <v>4283.55</v>
      </c>
      <c r="J68" s="169">
        <f>7503.43-3219.88</f>
        <v>4283.55</v>
      </c>
      <c r="K68" s="181">
        <f>I68-J68</f>
        <v>0</v>
      </c>
    </row>
    <row r="69" spans="1:11" ht="27" customHeight="1">
      <c r="A69" s="32" t="s">
        <v>15</v>
      </c>
      <c r="B69" s="15" t="s">
        <v>569</v>
      </c>
      <c r="C69" s="15" t="s">
        <v>16</v>
      </c>
      <c r="D69" s="17"/>
      <c r="E69" s="13">
        <f t="shared" si="7"/>
        <v>226.8</v>
      </c>
      <c r="F69" s="17">
        <v>226.8</v>
      </c>
      <c r="G69" s="17"/>
      <c r="H69" s="178">
        <f t="shared" si="1"/>
        <v>226.8</v>
      </c>
      <c r="I69" s="17">
        <v>226.8</v>
      </c>
      <c r="J69" s="169">
        <v>226.8</v>
      </c>
      <c r="K69" s="181">
        <f>I69-J69</f>
        <v>0</v>
      </c>
    </row>
    <row r="70" spans="1:11" ht="15.75" customHeight="1">
      <c r="A70" s="28" t="s">
        <v>12</v>
      </c>
      <c r="B70" s="15" t="s">
        <v>569</v>
      </c>
      <c r="C70" s="15" t="s">
        <v>13</v>
      </c>
      <c r="D70" s="17"/>
      <c r="E70" s="13">
        <f t="shared" si="7"/>
        <v>1293.6399999999999</v>
      </c>
      <c r="F70" s="17">
        <f>2266.04-972.4</f>
        <v>1293.6399999999999</v>
      </c>
      <c r="G70" s="17"/>
      <c r="H70" s="178">
        <f t="shared" si="1"/>
        <v>1293.6399999999999</v>
      </c>
      <c r="I70" s="17">
        <f>2266.04-972.4</f>
        <v>1293.6399999999999</v>
      </c>
      <c r="J70" s="169">
        <f>2266.04-972.4</f>
        <v>1293.6399999999999</v>
      </c>
      <c r="K70" s="181">
        <f>I70-J70</f>
        <v>0</v>
      </c>
    </row>
    <row r="71" spans="1:11" ht="30" customHeight="1">
      <c r="A71" s="28" t="s">
        <v>19</v>
      </c>
      <c r="B71" s="15" t="s">
        <v>569</v>
      </c>
      <c r="C71" s="4">
        <v>244</v>
      </c>
      <c r="D71" s="17"/>
      <c r="E71" s="13">
        <f t="shared" si="7"/>
        <v>192.80999999999949</v>
      </c>
      <c r="F71" s="17">
        <f>10442.76-4283.55-226.8-1293.64-11.12-242.56-4192.28</f>
        <v>192.80999999999949</v>
      </c>
      <c r="G71" s="17"/>
      <c r="H71" s="178">
        <f t="shared" si="1"/>
        <v>0</v>
      </c>
      <c r="I71" s="179">
        <v>0</v>
      </c>
      <c r="J71" s="169"/>
      <c r="K71" s="181">
        <f>I71-J71</f>
        <v>0</v>
      </c>
    </row>
    <row r="72" spans="1:11" ht="25.5" customHeight="1">
      <c r="A72" s="28" t="s">
        <v>30</v>
      </c>
      <c r="B72" s="15" t="s">
        <v>569</v>
      </c>
      <c r="C72" s="15" t="s">
        <v>31</v>
      </c>
      <c r="D72" s="17"/>
      <c r="E72" s="13">
        <f t="shared" si="7"/>
        <v>11.12</v>
      </c>
      <c r="F72" s="17">
        <v>11.12</v>
      </c>
      <c r="G72" s="17"/>
      <c r="H72" s="178">
        <f t="shared" si="1"/>
        <v>11.12</v>
      </c>
      <c r="I72" s="17">
        <v>11.12</v>
      </c>
      <c r="J72" s="169">
        <v>11.12</v>
      </c>
      <c r="K72" s="181">
        <f>I72-J72</f>
        <v>0</v>
      </c>
    </row>
    <row r="73" spans="1:11" ht="42" customHeight="1">
      <c r="A73" s="14" t="s">
        <v>396</v>
      </c>
      <c r="B73" s="15" t="s">
        <v>508</v>
      </c>
      <c r="C73" s="15"/>
      <c r="D73" s="17"/>
      <c r="E73" s="13">
        <f t="shared" si="7"/>
        <v>242.56</v>
      </c>
      <c r="F73" s="17">
        <f>F74</f>
        <v>242.56</v>
      </c>
      <c r="G73" s="17"/>
      <c r="H73" s="178">
        <f t="shared" si="1"/>
        <v>242.56</v>
      </c>
      <c r="I73" s="17">
        <f>I74</f>
        <v>242.56</v>
      </c>
      <c r="J73" s="169">
        <f>J74</f>
        <v>242.56</v>
      </c>
      <c r="K73" s="129"/>
    </row>
    <row r="74" spans="1:11" ht="25.5" customHeight="1">
      <c r="A74" s="28" t="s">
        <v>19</v>
      </c>
      <c r="B74" s="15" t="s">
        <v>508</v>
      </c>
      <c r="C74" s="4">
        <v>244</v>
      </c>
      <c r="D74" s="17"/>
      <c r="E74" s="13">
        <f t="shared" si="7"/>
        <v>242.56</v>
      </c>
      <c r="F74" s="17">
        <v>242.56</v>
      </c>
      <c r="G74" s="17"/>
      <c r="H74" s="178">
        <f t="shared" ref="H74:H137" si="8">I74-G74</f>
        <v>242.56</v>
      </c>
      <c r="I74" s="17">
        <v>242.56</v>
      </c>
      <c r="J74" s="169">
        <v>242.56</v>
      </c>
      <c r="K74" s="181">
        <f>I74-J74</f>
        <v>0</v>
      </c>
    </row>
    <row r="75" spans="1:11" ht="32.25" customHeight="1">
      <c r="A75" s="28" t="s">
        <v>226</v>
      </c>
      <c r="B75" s="15" t="s">
        <v>375</v>
      </c>
      <c r="C75" s="4"/>
      <c r="D75" s="17">
        <f>SUBTOTAL(9,D76:D77)</f>
        <v>8372.2999999999993</v>
      </c>
      <c r="E75" s="13">
        <f t="shared" si="7"/>
        <v>-8372.2999999999993</v>
      </c>
      <c r="F75" s="17"/>
      <c r="G75" s="17">
        <f>SUBTOTAL(9,G76:G77)</f>
        <v>8372.2999999999993</v>
      </c>
      <c r="H75" s="178">
        <f t="shared" si="8"/>
        <v>-8372.2999999999993</v>
      </c>
      <c r="I75" s="180">
        <v>0</v>
      </c>
      <c r="J75" s="180">
        <v>0</v>
      </c>
      <c r="K75" s="129"/>
    </row>
    <row r="76" spans="1:11" ht="25.5" customHeight="1">
      <c r="A76" s="28" t="s">
        <v>10</v>
      </c>
      <c r="B76" s="15" t="s">
        <v>375</v>
      </c>
      <c r="C76" s="15" t="s">
        <v>11</v>
      </c>
      <c r="D76" s="17">
        <f>7352-922</f>
        <v>6430</v>
      </c>
      <c r="E76" s="13">
        <f t="shared" si="7"/>
        <v>-6430</v>
      </c>
      <c r="F76" s="17"/>
      <c r="G76" s="17">
        <f>7352-922</f>
        <v>6430</v>
      </c>
      <c r="H76" s="178">
        <f t="shared" si="8"/>
        <v>-6430</v>
      </c>
      <c r="I76" s="180">
        <v>0</v>
      </c>
      <c r="J76" s="180">
        <v>0</v>
      </c>
      <c r="K76" s="181">
        <f>I76-J76</f>
        <v>0</v>
      </c>
    </row>
    <row r="77" spans="1:11" ht="25.5" customHeight="1">
      <c r="A77" s="28" t="s">
        <v>12</v>
      </c>
      <c r="B77" s="15" t="s">
        <v>375</v>
      </c>
      <c r="C77" s="15" t="s">
        <v>13</v>
      </c>
      <c r="D77" s="17">
        <f>2220.3-278</f>
        <v>1942.3000000000002</v>
      </c>
      <c r="E77" s="13">
        <f t="shared" si="7"/>
        <v>-1942.3000000000002</v>
      </c>
      <c r="F77" s="17"/>
      <c r="G77" s="17">
        <f>2220.3-278</f>
        <v>1942.3000000000002</v>
      </c>
      <c r="H77" s="178">
        <f t="shared" si="8"/>
        <v>-1942.3000000000002</v>
      </c>
      <c r="I77" s="180">
        <v>0</v>
      </c>
      <c r="J77" s="180">
        <v>0</v>
      </c>
      <c r="K77" s="181">
        <f>I77-J77</f>
        <v>0</v>
      </c>
    </row>
    <row r="78" spans="1:11" ht="24.75" customHeight="1">
      <c r="A78" s="28" t="s">
        <v>227</v>
      </c>
      <c r="B78" s="15" t="s">
        <v>376</v>
      </c>
      <c r="C78" s="4"/>
      <c r="D78" s="17">
        <f>SUBTOTAL(9,D79:D82)</f>
        <v>254.88</v>
      </c>
      <c r="E78" s="13">
        <f t="shared" si="7"/>
        <v>-254.88</v>
      </c>
      <c r="F78" s="17"/>
      <c r="G78" s="17">
        <f>SUBTOTAL(9,G79:G82)</f>
        <v>254.88</v>
      </c>
      <c r="H78" s="178">
        <f t="shared" si="8"/>
        <v>-254.88</v>
      </c>
      <c r="I78" s="180">
        <v>0</v>
      </c>
      <c r="J78" s="180">
        <v>0</v>
      </c>
      <c r="K78" s="129"/>
    </row>
    <row r="79" spans="1:11" ht="27" customHeight="1">
      <c r="A79" s="32" t="s">
        <v>15</v>
      </c>
      <c r="B79" s="15" t="s">
        <v>376</v>
      </c>
      <c r="C79" s="15" t="s">
        <v>16</v>
      </c>
      <c r="D79" s="17"/>
      <c r="E79" s="13">
        <f t="shared" si="7"/>
        <v>0</v>
      </c>
      <c r="F79" s="17"/>
      <c r="G79" s="17"/>
      <c r="H79" s="178">
        <f t="shared" si="8"/>
        <v>0</v>
      </c>
      <c r="I79" s="180">
        <v>0</v>
      </c>
      <c r="J79" s="180">
        <v>0</v>
      </c>
      <c r="K79" s="181">
        <f>I79-J79</f>
        <v>0</v>
      </c>
    </row>
    <row r="80" spans="1:11" ht="31.5" customHeight="1">
      <c r="A80" s="28" t="s">
        <v>19</v>
      </c>
      <c r="B80" s="15" t="s">
        <v>376</v>
      </c>
      <c r="C80" s="4">
        <v>244</v>
      </c>
      <c r="D80" s="17">
        <f>45.48+24.64+34.43+9.7+128</f>
        <v>242.25</v>
      </c>
      <c r="E80" s="13">
        <f t="shared" si="7"/>
        <v>-242.25</v>
      </c>
      <c r="F80" s="17"/>
      <c r="G80" s="17">
        <f>45.48+24.64+34.43+9.7+128</f>
        <v>242.25</v>
      </c>
      <c r="H80" s="178">
        <f t="shared" si="8"/>
        <v>-242.25</v>
      </c>
      <c r="I80" s="180">
        <v>0</v>
      </c>
      <c r="J80" s="180">
        <v>0</v>
      </c>
      <c r="K80" s="181">
        <f>I80-J80</f>
        <v>0</v>
      </c>
    </row>
    <row r="81" spans="1:11" ht="25.5" customHeight="1">
      <c r="A81" s="28" t="s">
        <v>30</v>
      </c>
      <c r="B81" s="15" t="s">
        <v>376</v>
      </c>
      <c r="C81" s="4" t="s">
        <v>31</v>
      </c>
      <c r="D81" s="17">
        <f>5+5.84</f>
        <v>10.84</v>
      </c>
      <c r="E81" s="13">
        <f t="shared" si="7"/>
        <v>-10.84</v>
      </c>
      <c r="F81" s="17"/>
      <c r="G81" s="17">
        <f>5+5.84</f>
        <v>10.84</v>
      </c>
      <c r="H81" s="178">
        <f t="shared" si="8"/>
        <v>-10.84</v>
      </c>
      <c r="I81" s="180">
        <v>0</v>
      </c>
      <c r="J81" s="180">
        <v>0</v>
      </c>
      <c r="K81" s="181">
        <f>I81-J81</f>
        <v>0</v>
      </c>
    </row>
    <row r="82" spans="1:11" ht="19.5" customHeight="1">
      <c r="A82" s="28" t="s">
        <v>32</v>
      </c>
      <c r="B82" s="15" t="s">
        <v>376</v>
      </c>
      <c r="C82" s="4" t="s">
        <v>33</v>
      </c>
      <c r="D82" s="17">
        <v>1.79</v>
      </c>
      <c r="E82" s="13">
        <f t="shared" si="7"/>
        <v>-1.79</v>
      </c>
      <c r="F82" s="17"/>
      <c r="G82" s="17">
        <v>1.79</v>
      </c>
      <c r="H82" s="178">
        <f t="shared" si="8"/>
        <v>-1.79</v>
      </c>
      <c r="I82" s="180">
        <v>0</v>
      </c>
      <c r="J82" s="180">
        <v>0</v>
      </c>
      <c r="K82" s="181">
        <f>I82-J82</f>
        <v>0</v>
      </c>
    </row>
    <row r="83" spans="1:11" ht="25.5" customHeight="1">
      <c r="A83" s="14" t="s">
        <v>396</v>
      </c>
      <c r="B83" s="15" t="s">
        <v>457</v>
      </c>
      <c r="C83" s="4"/>
      <c r="D83" s="17">
        <f>D84</f>
        <v>305.08999999999997</v>
      </c>
      <c r="E83" s="13">
        <f t="shared" si="7"/>
        <v>-305.08999999999997</v>
      </c>
      <c r="F83" s="17"/>
      <c r="G83" s="17">
        <f>G84</f>
        <v>305.08999999999997</v>
      </c>
      <c r="H83" s="178">
        <f t="shared" si="8"/>
        <v>-305.08999999999997</v>
      </c>
      <c r="I83" s="180">
        <v>0</v>
      </c>
      <c r="J83" s="180">
        <v>0</v>
      </c>
      <c r="K83" s="129"/>
    </row>
    <row r="84" spans="1:11" ht="25.5" customHeight="1">
      <c r="A84" s="14" t="s">
        <v>19</v>
      </c>
      <c r="B84" s="15" t="s">
        <v>457</v>
      </c>
      <c r="C84" s="4" t="s">
        <v>20</v>
      </c>
      <c r="D84" s="17">
        <v>305.08999999999997</v>
      </c>
      <c r="E84" s="13">
        <f t="shared" si="7"/>
        <v>-305.08999999999997</v>
      </c>
      <c r="F84" s="17"/>
      <c r="G84" s="17">
        <v>305.08999999999997</v>
      </c>
      <c r="H84" s="178">
        <f t="shared" si="8"/>
        <v>-305.08999999999997</v>
      </c>
      <c r="I84" s="180">
        <v>0</v>
      </c>
      <c r="J84" s="180">
        <v>0</v>
      </c>
      <c r="K84" s="181">
        <f>I84-J84</f>
        <v>0</v>
      </c>
    </row>
    <row r="85" spans="1:11" ht="25.5" customHeight="1">
      <c r="A85" s="14" t="s">
        <v>576</v>
      </c>
      <c r="B85" s="15" t="s">
        <v>459</v>
      </c>
      <c r="C85" s="4"/>
      <c r="D85" s="17">
        <f>D87</f>
        <v>150</v>
      </c>
      <c r="E85" s="13">
        <f t="shared" si="7"/>
        <v>271.89999999999998</v>
      </c>
      <c r="F85" s="17">
        <f>F86+F88</f>
        <v>421.9</v>
      </c>
      <c r="G85" s="17">
        <f>G87</f>
        <v>150</v>
      </c>
      <c r="H85" s="178">
        <f t="shared" si="8"/>
        <v>271.89999999999998</v>
      </c>
      <c r="I85" s="17">
        <f>I86+I88</f>
        <v>421.9</v>
      </c>
      <c r="J85" s="169">
        <f>J86+J88</f>
        <v>421.9</v>
      </c>
      <c r="K85" s="129"/>
    </row>
    <row r="86" spans="1:11" ht="25.5" customHeight="1">
      <c r="A86" s="14" t="s">
        <v>591</v>
      </c>
      <c r="B86" s="15" t="s">
        <v>604</v>
      </c>
      <c r="C86" s="4"/>
      <c r="D86" s="17"/>
      <c r="E86" s="13">
        <f t="shared" si="7"/>
        <v>0</v>
      </c>
      <c r="F86" s="17">
        <f>F87</f>
        <v>0</v>
      </c>
      <c r="G86" s="17"/>
      <c r="H86" s="178">
        <f t="shared" si="8"/>
        <v>0</v>
      </c>
      <c r="I86" s="17">
        <f>I87</f>
        <v>0</v>
      </c>
      <c r="J86" s="169">
        <f>J87</f>
        <v>0</v>
      </c>
      <c r="K86" s="129"/>
    </row>
    <row r="87" spans="1:11" ht="25.5" customHeight="1">
      <c r="A87" s="162" t="s">
        <v>19</v>
      </c>
      <c r="B87" s="15" t="s">
        <v>604</v>
      </c>
      <c r="C87" s="4" t="s">
        <v>20</v>
      </c>
      <c r="D87" s="163">
        <v>150</v>
      </c>
      <c r="E87" s="163">
        <f t="shared" si="7"/>
        <v>-150</v>
      </c>
      <c r="F87" s="17"/>
      <c r="G87" s="163">
        <v>150</v>
      </c>
      <c r="H87" s="178">
        <f t="shared" si="8"/>
        <v>-150</v>
      </c>
      <c r="I87" s="180">
        <v>0</v>
      </c>
      <c r="J87" s="180">
        <v>0</v>
      </c>
      <c r="K87" s="181">
        <f>I87-J87</f>
        <v>0</v>
      </c>
    </row>
    <row r="88" spans="1:11" ht="15.75" customHeight="1">
      <c r="A88" s="28" t="s">
        <v>228</v>
      </c>
      <c r="B88" s="15" t="s">
        <v>377</v>
      </c>
      <c r="C88" s="15"/>
      <c r="D88" s="17">
        <f>D89</f>
        <v>421.9</v>
      </c>
      <c r="E88" s="13">
        <f t="shared" si="7"/>
        <v>0</v>
      </c>
      <c r="F88" s="17">
        <f>F89</f>
        <v>421.9</v>
      </c>
      <c r="G88" s="17">
        <f>G89</f>
        <v>421.9</v>
      </c>
      <c r="H88" s="178">
        <f t="shared" si="8"/>
        <v>0</v>
      </c>
      <c r="I88" s="17">
        <f>I89</f>
        <v>421.9</v>
      </c>
      <c r="J88" s="169">
        <f>J89</f>
        <v>421.9</v>
      </c>
      <c r="K88" s="129"/>
    </row>
    <row r="89" spans="1:11" ht="28.5" customHeight="1">
      <c r="A89" s="28" t="s">
        <v>19</v>
      </c>
      <c r="B89" s="15" t="s">
        <v>377</v>
      </c>
      <c r="C89" s="15" t="s">
        <v>20</v>
      </c>
      <c r="D89" s="17">
        <f>422.2-0.3</f>
        <v>421.9</v>
      </c>
      <c r="E89" s="13">
        <f t="shared" si="7"/>
        <v>0</v>
      </c>
      <c r="F89" s="17">
        <v>421.9</v>
      </c>
      <c r="G89" s="17">
        <f>422.2-0.3</f>
        <v>421.9</v>
      </c>
      <c r="H89" s="178">
        <f t="shared" si="8"/>
        <v>0</v>
      </c>
      <c r="I89" s="17">
        <v>421.9</v>
      </c>
      <c r="J89" s="169">
        <v>421.9</v>
      </c>
      <c r="K89" s="129" t="s">
        <v>523</v>
      </c>
    </row>
    <row r="90" spans="1:11" ht="42" customHeight="1">
      <c r="A90" s="28" t="s">
        <v>138</v>
      </c>
      <c r="B90" s="15" t="s">
        <v>410</v>
      </c>
      <c r="C90" s="15"/>
      <c r="D90" s="17">
        <f>D91</f>
        <v>385.5</v>
      </c>
      <c r="E90" s="13">
        <f t="shared" si="7"/>
        <v>-131.9</v>
      </c>
      <c r="F90" s="17">
        <f>F91</f>
        <v>253.6</v>
      </c>
      <c r="G90" s="17">
        <f>G91</f>
        <v>385.5</v>
      </c>
      <c r="H90" s="178">
        <f t="shared" si="8"/>
        <v>-131.9</v>
      </c>
      <c r="I90" s="17">
        <f>I91</f>
        <v>253.6</v>
      </c>
      <c r="J90" s="169">
        <f>J91</f>
        <v>253.6</v>
      </c>
      <c r="K90" s="129"/>
    </row>
    <row r="91" spans="1:11" ht="25.5" customHeight="1">
      <c r="A91" s="28" t="s">
        <v>19</v>
      </c>
      <c r="B91" s="15" t="s">
        <v>410</v>
      </c>
      <c r="C91" s="15" t="s">
        <v>20</v>
      </c>
      <c r="D91" s="17">
        <v>385.5</v>
      </c>
      <c r="E91" s="13">
        <f t="shared" si="7"/>
        <v>-131.9</v>
      </c>
      <c r="F91" s="17">
        <v>253.6</v>
      </c>
      <c r="G91" s="17">
        <v>385.5</v>
      </c>
      <c r="H91" s="178">
        <f t="shared" si="8"/>
        <v>-131.9</v>
      </c>
      <c r="I91" s="17">
        <v>253.6</v>
      </c>
      <c r="J91" s="169">
        <v>253.6</v>
      </c>
      <c r="K91" s="129" t="s">
        <v>523</v>
      </c>
    </row>
    <row r="92" spans="1:11" ht="27.75" customHeight="1">
      <c r="A92" s="30" t="s">
        <v>342</v>
      </c>
      <c r="B92" s="16" t="s">
        <v>312</v>
      </c>
      <c r="C92" s="15"/>
      <c r="D92" s="17"/>
      <c r="E92" s="13">
        <f t="shared" si="7"/>
        <v>307.2</v>
      </c>
      <c r="F92" s="17">
        <f>F93</f>
        <v>307.2</v>
      </c>
      <c r="G92" s="17"/>
      <c r="H92" s="178">
        <f t="shared" si="8"/>
        <v>0</v>
      </c>
      <c r="I92" s="17">
        <f t="shared" ref="I92:J94" si="9">I93</f>
        <v>0</v>
      </c>
      <c r="J92" s="169">
        <f t="shared" si="9"/>
        <v>0</v>
      </c>
      <c r="K92" s="129"/>
    </row>
    <row r="93" spans="1:11" ht="41.25" hidden="1" customHeight="1">
      <c r="A93" s="30" t="s">
        <v>342</v>
      </c>
      <c r="B93" s="7" t="s">
        <v>312</v>
      </c>
      <c r="C93" s="7"/>
      <c r="D93" s="17">
        <f>D94</f>
        <v>0</v>
      </c>
      <c r="E93" s="13">
        <f t="shared" si="7"/>
        <v>307.2</v>
      </c>
      <c r="F93" s="17">
        <f>F94</f>
        <v>307.2</v>
      </c>
      <c r="G93" s="17">
        <f>G94</f>
        <v>0</v>
      </c>
      <c r="H93" s="178">
        <f t="shared" si="8"/>
        <v>0</v>
      </c>
      <c r="I93" s="17">
        <f t="shared" si="9"/>
        <v>0</v>
      </c>
      <c r="J93" s="169">
        <f t="shared" si="9"/>
        <v>0</v>
      </c>
    </row>
    <row r="94" spans="1:11" ht="26.25" customHeight="1">
      <c r="A94" s="28" t="s">
        <v>525</v>
      </c>
      <c r="B94" s="16" t="s">
        <v>526</v>
      </c>
      <c r="C94" s="15"/>
      <c r="D94" s="17"/>
      <c r="E94" s="13">
        <f t="shared" si="7"/>
        <v>307.2</v>
      </c>
      <c r="F94" s="17">
        <f>F95</f>
        <v>307.2</v>
      </c>
      <c r="G94" s="17"/>
      <c r="H94" s="178">
        <f t="shared" si="8"/>
        <v>0</v>
      </c>
      <c r="I94" s="17">
        <f t="shared" si="9"/>
        <v>0</v>
      </c>
      <c r="J94" s="169">
        <f t="shared" si="9"/>
        <v>0</v>
      </c>
      <c r="K94" s="129"/>
    </row>
    <row r="95" spans="1:11" ht="25.5" customHeight="1">
      <c r="A95" s="28" t="s">
        <v>19</v>
      </c>
      <c r="B95" s="16" t="s">
        <v>526</v>
      </c>
      <c r="C95" s="15" t="s">
        <v>20</v>
      </c>
      <c r="D95" s="17"/>
      <c r="E95" s="13">
        <f t="shared" si="7"/>
        <v>307.2</v>
      </c>
      <c r="F95" s="17">
        <v>307.2</v>
      </c>
      <c r="G95" s="17"/>
      <c r="H95" s="178">
        <f t="shared" si="8"/>
        <v>0</v>
      </c>
      <c r="I95" s="179">
        <v>0</v>
      </c>
      <c r="J95" s="180">
        <v>0</v>
      </c>
      <c r="K95" s="129" t="s">
        <v>523</v>
      </c>
    </row>
    <row r="96" spans="1:11" ht="14.25" customHeight="1">
      <c r="A96" s="30" t="s">
        <v>245</v>
      </c>
      <c r="B96" s="15" t="s">
        <v>391</v>
      </c>
      <c r="C96" s="7"/>
      <c r="D96" s="17">
        <f>D100</f>
        <v>5148</v>
      </c>
      <c r="E96" s="13">
        <f t="shared" si="7"/>
        <v>-1417.1100000000001</v>
      </c>
      <c r="F96" s="17">
        <f>F97</f>
        <v>3730.89</v>
      </c>
      <c r="G96" s="17">
        <f>G100</f>
        <v>5148</v>
      </c>
      <c r="H96" s="178">
        <f t="shared" si="8"/>
        <v>-1417.1100000000001</v>
      </c>
      <c r="I96" s="17">
        <f t="shared" ref="I96:J98" si="10">I97</f>
        <v>3730.89</v>
      </c>
      <c r="J96" s="169">
        <f t="shared" si="10"/>
        <v>3730.89</v>
      </c>
    </row>
    <row r="97" spans="1:11" ht="37.5" customHeight="1">
      <c r="A97" s="30" t="s">
        <v>587</v>
      </c>
      <c r="B97" s="15" t="s">
        <v>586</v>
      </c>
      <c r="C97" s="7"/>
      <c r="D97" s="17"/>
      <c r="E97" s="13">
        <f t="shared" si="7"/>
        <v>3730.89</v>
      </c>
      <c r="F97" s="17">
        <f>F98</f>
        <v>3730.89</v>
      </c>
      <c r="G97" s="17"/>
      <c r="H97" s="178">
        <f t="shared" si="8"/>
        <v>3730.89</v>
      </c>
      <c r="I97" s="17">
        <f t="shared" si="10"/>
        <v>3730.89</v>
      </c>
      <c r="J97" s="169">
        <f t="shared" si="10"/>
        <v>3730.89</v>
      </c>
    </row>
    <row r="98" spans="1:11" ht="25.5" customHeight="1">
      <c r="A98" s="28" t="s">
        <v>246</v>
      </c>
      <c r="B98" s="15" t="s">
        <v>588</v>
      </c>
      <c r="C98" s="7"/>
      <c r="D98" s="17"/>
      <c r="E98" s="13">
        <f t="shared" si="7"/>
        <v>3730.89</v>
      </c>
      <c r="F98" s="17">
        <f>F99</f>
        <v>3730.89</v>
      </c>
      <c r="G98" s="17"/>
      <c r="H98" s="178">
        <f t="shared" si="8"/>
        <v>3730.89</v>
      </c>
      <c r="I98" s="17">
        <f t="shared" si="10"/>
        <v>3730.89</v>
      </c>
      <c r="J98" s="169">
        <f t="shared" si="10"/>
        <v>3730.89</v>
      </c>
    </row>
    <row r="99" spans="1:11" ht="25.5" customHeight="1">
      <c r="A99" s="28" t="s">
        <v>247</v>
      </c>
      <c r="B99" s="15" t="s">
        <v>588</v>
      </c>
      <c r="C99" s="15" t="s">
        <v>248</v>
      </c>
      <c r="D99" s="17"/>
      <c r="E99" s="13">
        <f t="shared" si="7"/>
        <v>3730.89</v>
      </c>
      <c r="F99" s="17">
        <f>5037.58-1306.69</f>
        <v>3730.89</v>
      </c>
      <c r="G99" s="17"/>
      <c r="H99" s="178">
        <f t="shared" si="8"/>
        <v>3730.89</v>
      </c>
      <c r="I99" s="17">
        <f>5037.58-1306.69</f>
        <v>3730.89</v>
      </c>
      <c r="J99" s="169">
        <f>5037.58-1306.69</f>
        <v>3730.89</v>
      </c>
      <c r="K99" s="181">
        <f>I99-J99</f>
        <v>0</v>
      </c>
    </row>
    <row r="100" spans="1:11" ht="25.5" customHeight="1">
      <c r="A100" s="28" t="s">
        <v>246</v>
      </c>
      <c r="B100" s="15" t="s">
        <v>392</v>
      </c>
      <c r="C100" s="15"/>
      <c r="D100" s="17">
        <f>D101</f>
        <v>5148</v>
      </c>
      <c r="E100" s="13">
        <f t="shared" si="7"/>
        <v>-5148</v>
      </c>
      <c r="F100" s="17"/>
      <c r="G100" s="17">
        <f>G101</f>
        <v>5148</v>
      </c>
      <c r="H100" s="178">
        <f t="shared" si="8"/>
        <v>-5148</v>
      </c>
      <c r="I100" s="180">
        <v>0</v>
      </c>
      <c r="J100" s="180">
        <v>0</v>
      </c>
    </row>
    <row r="101" spans="1:11" ht="25.5" customHeight="1">
      <c r="A101" s="28" t="s">
        <v>247</v>
      </c>
      <c r="B101" s="15" t="s">
        <v>392</v>
      </c>
      <c r="C101" s="15" t="s">
        <v>248</v>
      </c>
      <c r="D101" s="17">
        <v>5148</v>
      </c>
      <c r="E101" s="13">
        <f t="shared" si="7"/>
        <v>-5148</v>
      </c>
      <c r="F101" s="17"/>
      <c r="G101" s="17">
        <v>5148</v>
      </c>
      <c r="H101" s="178">
        <f t="shared" si="8"/>
        <v>-5148</v>
      </c>
      <c r="I101" s="180">
        <v>0</v>
      </c>
      <c r="J101" s="180">
        <v>0</v>
      </c>
      <c r="K101" s="181">
        <f>I101-J101</f>
        <v>0</v>
      </c>
    </row>
    <row r="102" spans="1:11" ht="38.25" customHeight="1">
      <c r="A102" s="30" t="s">
        <v>310</v>
      </c>
      <c r="B102" s="7" t="s">
        <v>314</v>
      </c>
      <c r="C102" s="7"/>
      <c r="D102" s="17">
        <f>D103</f>
        <v>25932.74</v>
      </c>
      <c r="E102" s="13">
        <f t="shared" si="7"/>
        <v>-25932.74</v>
      </c>
      <c r="F102" s="17"/>
      <c r="G102" s="17">
        <f>G103</f>
        <v>25932.74</v>
      </c>
      <c r="H102" s="178">
        <f t="shared" si="8"/>
        <v>-25932.74</v>
      </c>
      <c r="I102" s="180">
        <v>0</v>
      </c>
      <c r="J102" s="180">
        <v>0</v>
      </c>
      <c r="K102" s="129"/>
    </row>
    <row r="103" spans="1:11" ht="25.5" customHeight="1">
      <c r="A103" s="30" t="s">
        <v>310</v>
      </c>
      <c r="B103" s="7" t="s">
        <v>314</v>
      </c>
      <c r="C103" s="7"/>
      <c r="D103" s="17">
        <f>D104+D123</f>
        <v>25932.74</v>
      </c>
      <c r="E103" s="13">
        <f t="shared" si="7"/>
        <v>-25932.74</v>
      </c>
      <c r="F103" s="17"/>
      <c r="G103" s="17">
        <f>G104+G123</f>
        <v>25932.74</v>
      </c>
      <c r="H103" s="178">
        <f t="shared" si="8"/>
        <v>-25932.74</v>
      </c>
      <c r="I103" s="180">
        <v>0</v>
      </c>
      <c r="J103" s="180">
        <v>0</v>
      </c>
      <c r="K103" s="129"/>
    </row>
    <row r="104" spans="1:11" ht="17.25" customHeight="1">
      <c r="A104" s="30" t="s">
        <v>313</v>
      </c>
      <c r="B104" s="7" t="s">
        <v>315</v>
      </c>
      <c r="C104" s="7"/>
      <c r="D104" s="17">
        <f>D105</f>
        <v>18174.560000000001</v>
      </c>
      <c r="E104" s="13">
        <f t="shared" si="7"/>
        <v>-18174.560000000001</v>
      </c>
      <c r="F104" s="17"/>
      <c r="G104" s="17">
        <f>G105</f>
        <v>18174.560000000001</v>
      </c>
      <c r="H104" s="178">
        <f t="shared" si="8"/>
        <v>-18174.560000000001</v>
      </c>
      <c r="I104" s="180">
        <v>0</v>
      </c>
      <c r="J104" s="180">
        <v>0</v>
      </c>
      <c r="K104" s="129"/>
    </row>
    <row r="105" spans="1:11" ht="25.5" customHeight="1">
      <c r="A105" s="28" t="s">
        <v>196</v>
      </c>
      <c r="B105" s="15" t="s">
        <v>316</v>
      </c>
      <c r="C105" s="15"/>
      <c r="D105" s="17">
        <f>D106+D109</f>
        <v>18174.560000000001</v>
      </c>
      <c r="E105" s="13">
        <f t="shared" si="7"/>
        <v>-18174.560000000001</v>
      </c>
      <c r="F105" s="17"/>
      <c r="G105" s="17">
        <f>G106+G109</f>
        <v>18174.560000000001</v>
      </c>
      <c r="H105" s="178">
        <f t="shared" si="8"/>
        <v>-18174.560000000001</v>
      </c>
      <c r="I105" s="180">
        <v>0</v>
      </c>
      <c r="J105" s="180">
        <v>0</v>
      </c>
      <c r="K105" s="129"/>
    </row>
    <row r="106" spans="1:11" ht="25.5" customHeight="1">
      <c r="A106" s="28" t="s">
        <v>197</v>
      </c>
      <c r="B106" s="15" t="s">
        <v>317</v>
      </c>
      <c r="C106" s="15"/>
      <c r="D106" s="17">
        <f>SUBTOTAL(9,D107:D108)</f>
        <v>17790</v>
      </c>
      <c r="E106" s="13">
        <f t="shared" si="7"/>
        <v>-17790</v>
      </c>
      <c r="F106" s="17"/>
      <c r="G106" s="17">
        <f>SUBTOTAL(9,G107:G108)</f>
        <v>17790</v>
      </c>
      <c r="H106" s="178">
        <f t="shared" si="8"/>
        <v>-17790</v>
      </c>
      <c r="I106" s="180">
        <v>0</v>
      </c>
      <c r="J106" s="180">
        <v>0</v>
      </c>
      <c r="K106" s="129"/>
    </row>
    <row r="107" spans="1:11" ht="36" customHeight="1">
      <c r="A107" s="28" t="s">
        <v>104</v>
      </c>
      <c r="B107" s="15" t="s">
        <v>317</v>
      </c>
      <c r="C107" s="15" t="s">
        <v>42</v>
      </c>
      <c r="D107" s="17">
        <v>13663.6</v>
      </c>
      <c r="E107" s="13">
        <f t="shared" si="7"/>
        <v>-13663.6</v>
      </c>
      <c r="F107" s="17"/>
      <c r="G107" s="17">
        <v>13663.6</v>
      </c>
      <c r="H107" s="178">
        <f t="shared" si="8"/>
        <v>-13663.6</v>
      </c>
      <c r="I107" s="180">
        <v>0</v>
      </c>
      <c r="J107" s="180">
        <v>0</v>
      </c>
      <c r="K107" s="181">
        <f>I107-J107</f>
        <v>0</v>
      </c>
    </row>
    <row r="108" spans="1:11" ht="16.5" customHeight="1">
      <c r="A108" s="28" t="s">
        <v>304</v>
      </c>
      <c r="B108" s="15" t="s">
        <v>317</v>
      </c>
      <c r="C108" s="15" t="s">
        <v>44</v>
      </c>
      <c r="D108" s="17">
        <v>4126.3999999999996</v>
      </c>
      <c r="E108" s="13">
        <f t="shared" si="7"/>
        <v>-4126.3999999999996</v>
      </c>
      <c r="F108" s="17"/>
      <c r="G108" s="17">
        <v>4126.3999999999996</v>
      </c>
      <c r="H108" s="178">
        <f t="shared" si="8"/>
        <v>-4126.3999999999996</v>
      </c>
      <c r="I108" s="180">
        <v>0</v>
      </c>
      <c r="J108" s="180">
        <v>0</v>
      </c>
      <c r="K108" s="181">
        <f>I108-J108</f>
        <v>0</v>
      </c>
    </row>
    <row r="109" spans="1:11" ht="25.5" customHeight="1">
      <c r="A109" s="28" t="s">
        <v>198</v>
      </c>
      <c r="B109" s="15" t="s">
        <v>318</v>
      </c>
      <c r="C109" s="15"/>
      <c r="D109" s="17">
        <f>SUBTOTAL(9,D110:D111)</f>
        <v>384.56</v>
      </c>
      <c r="E109" s="13">
        <f t="shared" si="7"/>
        <v>-384.56</v>
      </c>
      <c r="F109" s="17"/>
      <c r="G109" s="17">
        <f>SUBTOTAL(9,G110:G111)</f>
        <v>384.56</v>
      </c>
      <c r="H109" s="178">
        <f t="shared" si="8"/>
        <v>-384.56</v>
      </c>
      <c r="I109" s="180">
        <v>0</v>
      </c>
      <c r="J109" s="180">
        <v>0</v>
      </c>
      <c r="K109" s="129"/>
    </row>
    <row r="110" spans="1:11" ht="40.5" customHeight="1">
      <c r="A110" s="28" t="s">
        <v>105</v>
      </c>
      <c r="B110" s="15" t="s">
        <v>318</v>
      </c>
      <c r="C110" s="4" t="s">
        <v>47</v>
      </c>
      <c r="D110" s="17"/>
      <c r="E110" s="13">
        <f t="shared" si="7"/>
        <v>0</v>
      </c>
      <c r="F110" s="17"/>
      <c r="G110" s="17"/>
      <c r="H110" s="178">
        <f t="shared" si="8"/>
        <v>0</v>
      </c>
      <c r="I110" s="180">
        <v>0</v>
      </c>
      <c r="J110" s="180">
        <v>0</v>
      </c>
      <c r="K110" s="181">
        <f>I110-J110</f>
        <v>0</v>
      </c>
    </row>
    <row r="111" spans="1:11" ht="25.5" customHeight="1">
      <c r="A111" s="28" t="s">
        <v>19</v>
      </c>
      <c r="B111" s="15" t="s">
        <v>318</v>
      </c>
      <c r="C111" s="4">
        <v>244</v>
      </c>
      <c r="D111" s="17">
        <v>384.56</v>
      </c>
      <c r="E111" s="13">
        <f t="shared" si="7"/>
        <v>-384.56</v>
      </c>
      <c r="F111" s="17"/>
      <c r="G111" s="17">
        <v>384.56</v>
      </c>
      <c r="H111" s="178">
        <f t="shared" si="8"/>
        <v>-384.56</v>
      </c>
      <c r="I111" s="180">
        <v>0</v>
      </c>
      <c r="J111" s="180">
        <v>0</v>
      </c>
      <c r="K111" s="181">
        <f>I111-J111</f>
        <v>0</v>
      </c>
    </row>
    <row r="112" spans="1:11" ht="38.25" customHeight="1">
      <c r="A112" s="30" t="s">
        <v>326</v>
      </c>
      <c r="B112" s="7" t="s">
        <v>323</v>
      </c>
      <c r="C112" s="7"/>
      <c r="D112" s="17">
        <f>D113</f>
        <v>8110.23</v>
      </c>
      <c r="E112" s="13">
        <f t="shared" si="7"/>
        <v>-8110.23</v>
      </c>
      <c r="F112" s="17"/>
      <c r="G112" s="17">
        <f>G113</f>
        <v>8110.23</v>
      </c>
      <c r="H112" s="178">
        <f t="shared" si="8"/>
        <v>-8110.23</v>
      </c>
      <c r="I112" s="180">
        <v>0</v>
      </c>
      <c r="J112" s="180">
        <v>0</v>
      </c>
      <c r="K112" s="129"/>
    </row>
    <row r="113" spans="1:14" ht="18" customHeight="1">
      <c r="A113" s="28" t="s">
        <v>329</v>
      </c>
      <c r="B113" s="16" t="s">
        <v>330</v>
      </c>
      <c r="C113" s="15"/>
      <c r="D113" s="17">
        <f>D114+D117</f>
        <v>8110.23</v>
      </c>
      <c r="E113" s="13">
        <f t="shared" si="7"/>
        <v>-8110.23</v>
      </c>
      <c r="F113" s="17"/>
      <c r="G113" s="17">
        <f>G114+G117</f>
        <v>8110.23</v>
      </c>
      <c r="H113" s="178">
        <f t="shared" si="8"/>
        <v>-8110.23</v>
      </c>
      <c r="I113" s="180">
        <v>0</v>
      </c>
      <c r="J113" s="180">
        <v>0</v>
      </c>
      <c r="K113" s="129"/>
    </row>
    <row r="114" spans="1:14" ht="38.25" customHeight="1">
      <c r="A114" s="28" t="s">
        <v>327</v>
      </c>
      <c r="B114" s="16" t="s">
        <v>331</v>
      </c>
      <c r="C114" s="15"/>
      <c r="D114" s="17">
        <f>SUBTOTAL(9,D115:D116)</f>
        <v>5310.2</v>
      </c>
      <c r="E114" s="13">
        <f t="shared" si="7"/>
        <v>-5310.2</v>
      </c>
      <c r="F114" s="17"/>
      <c r="G114" s="17">
        <f>SUBTOTAL(9,G115:G116)</f>
        <v>5310.2</v>
      </c>
      <c r="H114" s="178">
        <f t="shared" si="8"/>
        <v>-5310.2</v>
      </c>
      <c r="I114" s="180">
        <v>0</v>
      </c>
      <c r="J114" s="180">
        <v>0</v>
      </c>
      <c r="K114" s="129"/>
    </row>
    <row r="115" spans="1:14" ht="33.75" customHeight="1">
      <c r="A115" s="28" t="s">
        <v>104</v>
      </c>
      <c r="B115" s="16" t="s">
        <v>331</v>
      </c>
      <c r="C115" s="15" t="s">
        <v>42</v>
      </c>
      <c r="D115" s="17">
        <f>4513.2-434.7</f>
        <v>4078.5</v>
      </c>
      <c r="E115" s="13">
        <f t="shared" si="7"/>
        <v>-4078.5</v>
      </c>
      <c r="F115" s="17"/>
      <c r="G115" s="17">
        <f>4513.2-434.7</f>
        <v>4078.5</v>
      </c>
      <c r="H115" s="178">
        <f t="shared" si="8"/>
        <v>-4078.5</v>
      </c>
      <c r="I115" s="180">
        <v>0</v>
      </c>
      <c r="J115" s="180">
        <v>0</v>
      </c>
      <c r="K115" s="181">
        <f>I115-J115</f>
        <v>0</v>
      </c>
    </row>
    <row r="116" spans="1:14" ht="24.75" customHeight="1">
      <c r="A116" s="28" t="s">
        <v>276</v>
      </c>
      <c r="B116" s="16" t="s">
        <v>331</v>
      </c>
      <c r="C116" s="15" t="s">
        <v>44</v>
      </c>
      <c r="D116" s="17">
        <f>1363-131.3</f>
        <v>1231.7</v>
      </c>
      <c r="E116" s="13">
        <f t="shared" si="7"/>
        <v>-1231.7</v>
      </c>
      <c r="F116" s="17"/>
      <c r="G116" s="17">
        <f>1363-131.3</f>
        <v>1231.7</v>
      </c>
      <c r="H116" s="178">
        <f t="shared" si="8"/>
        <v>-1231.7</v>
      </c>
      <c r="I116" s="180">
        <v>0</v>
      </c>
      <c r="J116" s="180">
        <v>0</v>
      </c>
      <c r="K116" s="181">
        <f>I116-J116</f>
        <v>0</v>
      </c>
    </row>
    <row r="117" spans="1:14" ht="25.5" customHeight="1">
      <c r="A117" s="28" t="s">
        <v>328</v>
      </c>
      <c r="B117" s="16" t="s">
        <v>332</v>
      </c>
      <c r="C117" s="4"/>
      <c r="D117" s="17">
        <f>SUBTOTAL(9,D118:D122)</f>
        <v>2800.0299999999997</v>
      </c>
      <c r="E117" s="13">
        <f t="shared" si="7"/>
        <v>-2800.0299999999997</v>
      </c>
      <c r="F117" s="17"/>
      <c r="G117" s="17">
        <f>SUBTOTAL(9,G118:G122)</f>
        <v>2800.0299999999997</v>
      </c>
      <c r="H117" s="178">
        <f t="shared" si="8"/>
        <v>-2800.0299999999997</v>
      </c>
      <c r="I117" s="180">
        <v>0</v>
      </c>
      <c r="J117" s="180">
        <v>0</v>
      </c>
      <c r="K117" s="129"/>
    </row>
    <row r="118" spans="1:14" ht="15" customHeight="1">
      <c r="A118" s="28" t="s">
        <v>46</v>
      </c>
      <c r="B118" s="16" t="s">
        <v>332</v>
      </c>
      <c r="C118" s="15" t="s">
        <v>47</v>
      </c>
      <c r="D118" s="17"/>
      <c r="E118" s="13">
        <f t="shared" si="7"/>
        <v>0</v>
      </c>
      <c r="F118" s="17"/>
      <c r="G118" s="17"/>
      <c r="H118" s="178">
        <f t="shared" si="8"/>
        <v>0</v>
      </c>
      <c r="I118" s="180">
        <v>0</v>
      </c>
      <c r="J118" s="180">
        <v>0</v>
      </c>
      <c r="K118" s="181">
        <f>I118-J118</f>
        <v>0</v>
      </c>
    </row>
    <row r="119" spans="1:14" ht="25.5" customHeight="1">
      <c r="A119" s="28" t="s">
        <v>19</v>
      </c>
      <c r="B119" s="16" t="s">
        <v>332</v>
      </c>
      <c r="C119" s="4">
        <v>244</v>
      </c>
      <c r="D119" s="69">
        <f>95+1085.2+200+1115</f>
        <v>2495.1999999999998</v>
      </c>
      <c r="E119" s="13">
        <f t="shared" si="7"/>
        <v>-2495.1999999999998</v>
      </c>
      <c r="F119" s="69"/>
      <c r="G119" s="69">
        <f>95+1085.2+200+1115</f>
        <v>2495.1999999999998</v>
      </c>
      <c r="H119" s="178">
        <f t="shared" si="8"/>
        <v>-2495.1999999999998</v>
      </c>
      <c r="I119" s="180">
        <v>0</v>
      </c>
      <c r="J119" s="180">
        <v>0</v>
      </c>
      <c r="K119" s="181">
        <f>I119-J119</f>
        <v>0</v>
      </c>
    </row>
    <row r="120" spans="1:14" ht="30" customHeight="1">
      <c r="A120" s="28" t="s">
        <v>30</v>
      </c>
      <c r="B120" s="16" t="s">
        <v>332</v>
      </c>
      <c r="C120" s="4" t="s">
        <v>31</v>
      </c>
      <c r="D120" s="17">
        <f>16.3+35.1</f>
        <v>51.400000000000006</v>
      </c>
      <c r="E120" s="13">
        <f t="shared" si="7"/>
        <v>-51.400000000000006</v>
      </c>
      <c r="F120" s="17"/>
      <c r="G120" s="17">
        <f>16.3+35.1</f>
        <v>51.400000000000006</v>
      </c>
      <c r="H120" s="178">
        <f t="shared" si="8"/>
        <v>-51.400000000000006</v>
      </c>
      <c r="I120" s="180">
        <v>0</v>
      </c>
      <c r="J120" s="180">
        <v>0</v>
      </c>
      <c r="K120" s="181">
        <f>I120-J120</f>
        <v>0</v>
      </c>
    </row>
    <row r="121" spans="1:14" ht="25.5" customHeight="1">
      <c r="A121" s="28" t="s">
        <v>32</v>
      </c>
      <c r="B121" s="16" t="s">
        <v>332</v>
      </c>
      <c r="C121" s="4" t="s">
        <v>33</v>
      </c>
      <c r="D121" s="17">
        <v>53.43</v>
      </c>
      <c r="E121" s="13">
        <f t="shared" si="7"/>
        <v>-53.43</v>
      </c>
      <c r="F121" s="17"/>
      <c r="G121" s="17">
        <v>53.43</v>
      </c>
      <c r="H121" s="178">
        <f t="shared" si="8"/>
        <v>-53.43</v>
      </c>
      <c r="I121" s="180">
        <v>0</v>
      </c>
      <c r="J121" s="180">
        <v>0</v>
      </c>
      <c r="K121" s="181">
        <f>I121-J121</f>
        <v>0</v>
      </c>
    </row>
    <row r="122" spans="1:14" ht="25.5" customHeight="1">
      <c r="A122" s="28" t="s">
        <v>21</v>
      </c>
      <c r="B122" s="16" t="s">
        <v>332</v>
      </c>
      <c r="C122" s="4" t="s">
        <v>22</v>
      </c>
      <c r="D122" s="17">
        <v>200</v>
      </c>
      <c r="E122" s="13">
        <f t="shared" ref="E122:E185" si="11">F122-D122</f>
        <v>-200</v>
      </c>
      <c r="F122" s="17"/>
      <c r="G122" s="17">
        <v>200</v>
      </c>
      <c r="H122" s="178">
        <f t="shared" si="8"/>
        <v>-200</v>
      </c>
      <c r="I122" s="180">
        <v>0</v>
      </c>
      <c r="J122" s="180">
        <v>0</v>
      </c>
      <c r="K122" s="181">
        <f>I122-J122</f>
        <v>0</v>
      </c>
    </row>
    <row r="123" spans="1:14" ht="18.75" customHeight="1">
      <c r="A123" s="30" t="s">
        <v>333</v>
      </c>
      <c r="B123" s="16" t="s">
        <v>334</v>
      </c>
      <c r="C123" s="4"/>
      <c r="D123" s="17">
        <f>D124</f>
        <v>7758.18</v>
      </c>
      <c r="E123" s="13">
        <f t="shared" si="11"/>
        <v>-7758.18</v>
      </c>
      <c r="F123" s="17"/>
      <c r="G123" s="17">
        <f>G124</f>
        <v>7758.18</v>
      </c>
      <c r="H123" s="178">
        <f t="shared" si="8"/>
        <v>-7758.18</v>
      </c>
      <c r="I123" s="180">
        <v>0</v>
      </c>
      <c r="J123" s="180">
        <v>0</v>
      </c>
      <c r="K123" s="129"/>
    </row>
    <row r="124" spans="1:14" s="50" customFormat="1" ht="14.25" customHeight="1">
      <c r="A124" s="28" t="s">
        <v>210</v>
      </c>
      <c r="B124" s="16" t="s">
        <v>335</v>
      </c>
      <c r="C124" s="15"/>
      <c r="D124" s="17">
        <f>D125+D128</f>
        <v>7758.18</v>
      </c>
      <c r="E124" s="13">
        <f t="shared" si="11"/>
        <v>-7758.18</v>
      </c>
      <c r="F124" s="17"/>
      <c r="G124" s="17">
        <f>G125+G128</f>
        <v>7758.18</v>
      </c>
      <c r="H124" s="178">
        <f t="shared" si="8"/>
        <v>-7758.18</v>
      </c>
      <c r="I124" s="180">
        <v>0</v>
      </c>
      <c r="J124" s="180">
        <v>0</v>
      </c>
      <c r="K124" s="129"/>
      <c r="L124" s="1"/>
      <c r="M124" s="1"/>
      <c r="N124" s="1"/>
    </row>
    <row r="125" spans="1:14" s="50" customFormat="1" ht="37.5" customHeight="1">
      <c r="A125" s="28" t="s">
        <v>211</v>
      </c>
      <c r="B125" s="16" t="s">
        <v>336</v>
      </c>
      <c r="C125" s="15"/>
      <c r="D125" s="17">
        <f>SUBTOTAL(9,D126:D127)</f>
        <v>7486.7000000000007</v>
      </c>
      <c r="E125" s="13">
        <f t="shared" si="11"/>
        <v>-7486.7000000000007</v>
      </c>
      <c r="F125" s="17"/>
      <c r="G125" s="17">
        <f>SUBTOTAL(9,G126:G127)</f>
        <v>7486.7000000000007</v>
      </c>
      <c r="H125" s="178">
        <f t="shared" si="8"/>
        <v>-7486.7000000000007</v>
      </c>
      <c r="I125" s="180">
        <v>0</v>
      </c>
      <c r="J125" s="180">
        <v>0</v>
      </c>
      <c r="K125" s="129"/>
      <c r="L125" s="1"/>
      <c r="M125" s="1"/>
      <c r="N125" s="1"/>
    </row>
    <row r="126" spans="1:14" ht="25.5" customHeight="1">
      <c r="A126" s="28" t="s">
        <v>10</v>
      </c>
      <c r="B126" s="16" t="s">
        <v>336</v>
      </c>
      <c r="C126" s="15" t="s">
        <v>11</v>
      </c>
      <c r="D126" s="17">
        <f>6358.3-563</f>
        <v>5795.3</v>
      </c>
      <c r="E126" s="13">
        <f t="shared" si="11"/>
        <v>-5795.3</v>
      </c>
      <c r="F126" s="17"/>
      <c r="G126" s="17">
        <f>6358.3-563</f>
        <v>5795.3</v>
      </c>
      <c r="H126" s="178">
        <f t="shared" si="8"/>
        <v>-5795.3</v>
      </c>
      <c r="I126" s="180">
        <v>0</v>
      </c>
      <c r="J126" s="180">
        <v>0</v>
      </c>
      <c r="K126" s="181">
        <f>I126-J126</f>
        <v>0</v>
      </c>
    </row>
    <row r="127" spans="1:14" ht="25.5" customHeight="1">
      <c r="A127" s="28" t="s">
        <v>12</v>
      </c>
      <c r="B127" s="16" t="s">
        <v>336</v>
      </c>
      <c r="C127" s="15" t="s">
        <v>13</v>
      </c>
      <c r="D127" s="17">
        <f>1861.4-170</f>
        <v>1691.4</v>
      </c>
      <c r="E127" s="13">
        <f t="shared" si="11"/>
        <v>-1691.4</v>
      </c>
      <c r="F127" s="17"/>
      <c r="G127" s="17">
        <f>1861.4-170</f>
        <v>1691.4</v>
      </c>
      <c r="H127" s="178">
        <f t="shared" si="8"/>
        <v>-1691.4</v>
      </c>
      <c r="I127" s="180">
        <v>0</v>
      </c>
      <c r="J127" s="180">
        <v>0</v>
      </c>
      <c r="K127" s="181">
        <f>I127-J127</f>
        <v>0</v>
      </c>
    </row>
    <row r="128" spans="1:14" ht="25.5" customHeight="1">
      <c r="A128" s="28" t="s">
        <v>212</v>
      </c>
      <c r="B128" s="16" t="s">
        <v>337</v>
      </c>
      <c r="C128" s="4"/>
      <c r="D128" s="17">
        <f>SUBTOTAL(9,D129:D131)</f>
        <v>271.48</v>
      </c>
      <c r="E128" s="13">
        <f t="shared" si="11"/>
        <v>-271.48</v>
      </c>
      <c r="F128" s="17"/>
      <c r="G128" s="17">
        <f>SUBTOTAL(9,G129:G131)</f>
        <v>271.48</v>
      </c>
      <c r="H128" s="178">
        <f t="shared" si="8"/>
        <v>-271.48</v>
      </c>
      <c r="I128" s="180">
        <v>0</v>
      </c>
      <c r="J128" s="180">
        <v>0</v>
      </c>
      <c r="K128" s="129"/>
    </row>
    <row r="129" spans="1:14" ht="38.25" customHeight="1">
      <c r="A129" s="32" t="s">
        <v>15</v>
      </c>
      <c r="B129" s="16" t="s">
        <v>337</v>
      </c>
      <c r="C129" s="15" t="s">
        <v>16</v>
      </c>
      <c r="D129" s="17"/>
      <c r="E129" s="13">
        <f t="shared" si="11"/>
        <v>0</v>
      </c>
      <c r="F129" s="17"/>
      <c r="G129" s="17"/>
      <c r="H129" s="178">
        <f t="shared" si="8"/>
        <v>0</v>
      </c>
      <c r="I129" s="180">
        <v>0</v>
      </c>
      <c r="J129" s="180">
        <v>0</v>
      </c>
      <c r="K129" s="181">
        <f>I129-J129</f>
        <v>0</v>
      </c>
    </row>
    <row r="130" spans="1:14" ht="28.5" customHeight="1">
      <c r="A130" s="28" t="s">
        <v>19</v>
      </c>
      <c r="B130" s="16" t="s">
        <v>337</v>
      </c>
      <c r="C130" s="4">
        <v>244</v>
      </c>
      <c r="D130" s="17">
        <f>45.48+136+90</f>
        <v>271.48</v>
      </c>
      <c r="E130" s="13">
        <f t="shared" si="11"/>
        <v>-271.48</v>
      </c>
      <c r="F130" s="17"/>
      <c r="G130" s="17">
        <f>45.48+136+90</f>
        <v>271.48</v>
      </c>
      <c r="H130" s="178">
        <f t="shared" si="8"/>
        <v>-271.48</v>
      </c>
      <c r="I130" s="180">
        <v>0</v>
      </c>
      <c r="J130" s="180">
        <v>0</v>
      </c>
      <c r="K130" s="181">
        <f>I130-J130</f>
        <v>0</v>
      </c>
    </row>
    <row r="131" spans="1:14" ht="21" customHeight="1">
      <c r="A131" s="28" t="s">
        <v>21</v>
      </c>
      <c r="B131" s="16" t="s">
        <v>337</v>
      </c>
      <c r="C131" s="4" t="s">
        <v>22</v>
      </c>
      <c r="D131" s="17"/>
      <c r="E131" s="13">
        <f t="shared" si="11"/>
        <v>0</v>
      </c>
      <c r="F131" s="17"/>
      <c r="G131" s="17"/>
      <c r="H131" s="178">
        <f t="shared" si="8"/>
        <v>0</v>
      </c>
      <c r="I131" s="180">
        <v>0</v>
      </c>
      <c r="J131" s="180">
        <v>0</v>
      </c>
      <c r="K131" s="181">
        <f>I131-J131</f>
        <v>0</v>
      </c>
    </row>
    <row r="132" spans="1:14" ht="27" hidden="1" customHeight="1">
      <c r="A132" s="28" t="s">
        <v>252</v>
      </c>
      <c r="B132" s="15" t="s">
        <v>257</v>
      </c>
      <c r="C132" s="7"/>
      <c r="D132" s="13">
        <f t="shared" ref="D132:D138" si="12">D133</f>
        <v>0</v>
      </c>
      <c r="E132" s="13">
        <f t="shared" si="11"/>
        <v>0</v>
      </c>
      <c r="F132" s="13">
        <f>F133</f>
        <v>0</v>
      </c>
      <c r="G132" s="13">
        <f>G133</f>
        <v>0</v>
      </c>
      <c r="H132" s="178">
        <f t="shared" si="8"/>
        <v>0</v>
      </c>
      <c r="I132" s="13">
        <f>I133</f>
        <v>0</v>
      </c>
      <c r="J132" s="168">
        <f>J133</f>
        <v>0</v>
      </c>
    </row>
    <row r="133" spans="1:14" ht="41.25" hidden="1" customHeight="1">
      <c r="A133" s="28" t="s">
        <v>252</v>
      </c>
      <c r="B133" s="15" t="s">
        <v>257</v>
      </c>
      <c r="C133" s="7"/>
      <c r="D133" s="13">
        <f t="shared" si="12"/>
        <v>0</v>
      </c>
      <c r="E133" s="13">
        <f t="shared" si="11"/>
        <v>0</v>
      </c>
      <c r="F133" s="13">
        <f>F134</f>
        <v>0</v>
      </c>
      <c r="G133" s="13">
        <f>G134</f>
        <v>0</v>
      </c>
      <c r="H133" s="178">
        <f t="shared" si="8"/>
        <v>0</v>
      </c>
      <c r="I133" s="13">
        <f>I134</f>
        <v>0</v>
      </c>
      <c r="J133" s="168">
        <f>J134</f>
        <v>0</v>
      </c>
    </row>
    <row r="134" spans="1:14" ht="24.75" hidden="1" customHeight="1">
      <c r="A134" s="28" t="s">
        <v>252</v>
      </c>
      <c r="B134" s="7" t="s">
        <v>257</v>
      </c>
      <c r="C134" s="7"/>
      <c r="D134" s="13">
        <f t="shared" si="12"/>
        <v>0</v>
      </c>
      <c r="E134" s="13">
        <f t="shared" si="11"/>
        <v>0</v>
      </c>
      <c r="F134" s="13">
        <f>F136</f>
        <v>0</v>
      </c>
      <c r="G134" s="13">
        <f>G135</f>
        <v>0</v>
      </c>
      <c r="H134" s="178">
        <f t="shared" si="8"/>
        <v>0</v>
      </c>
      <c r="I134" s="13">
        <f>I136</f>
        <v>0</v>
      </c>
      <c r="J134" s="168">
        <f>J136</f>
        <v>0</v>
      </c>
    </row>
    <row r="135" spans="1:14" ht="27.75" hidden="1" customHeight="1">
      <c r="A135" s="28" t="s">
        <v>252</v>
      </c>
      <c r="B135" s="7" t="s">
        <v>257</v>
      </c>
      <c r="C135" s="7"/>
      <c r="D135" s="17">
        <f t="shared" si="12"/>
        <v>0</v>
      </c>
      <c r="E135" s="13">
        <f t="shared" si="11"/>
        <v>0</v>
      </c>
      <c r="F135" s="17">
        <f>F136</f>
        <v>0</v>
      </c>
      <c r="G135" s="17">
        <f>G136</f>
        <v>0</v>
      </c>
      <c r="H135" s="178">
        <f t="shared" si="8"/>
        <v>0</v>
      </c>
      <c r="I135" s="17">
        <f t="shared" ref="I135:J138" si="13">I136</f>
        <v>0</v>
      </c>
      <c r="J135" s="169">
        <f t="shared" si="13"/>
        <v>0</v>
      </c>
    </row>
    <row r="136" spans="1:14" ht="15.75" hidden="1" customHeight="1">
      <c r="A136" s="28" t="s">
        <v>252</v>
      </c>
      <c r="B136" s="7" t="s">
        <v>257</v>
      </c>
      <c r="C136" s="7"/>
      <c r="D136" s="17">
        <f t="shared" si="12"/>
        <v>0</v>
      </c>
      <c r="E136" s="13">
        <f t="shared" si="11"/>
        <v>0</v>
      </c>
      <c r="F136" s="17">
        <f>F137</f>
        <v>0</v>
      </c>
      <c r="G136" s="17">
        <f>G137</f>
        <v>0</v>
      </c>
      <c r="H136" s="178">
        <f t="shared" si="8"/>
        <v>0</v>
      </c>
      <c r="I136" s="17">
        <f t="shared" si="13"/>
        <v>0</v>
      </c>
      <c r="J136" s="169">
        <f t="shared" si="13"/>
        <v>0</v>
      </c>
    </row>
    <row r="137" spans="1:14" ht="15.75" hidden="1" customHeight="1">
      <c r="A137" s="28" t="s">
        <v>252</v>
      </c>
      <c r="B137" s="7" t="s">
        <v>257</v>
      </c>
      <c r="C137" s="16"/>
      <c r="D137" s="17">
        <f t="shared" si="12"/>
        <v>0</v>
      </c>
      <c r="E137" s="13">
        <f t="shared" si="11"/>
        <v>0</v>
      </c>
      <c r="F137" s="17">
        <f>F138</f>
        <v>0</v>
      </c>
      <c r="G137" s="17">
        <f>G138</f>
        <v>0</v>
      </c>
      <c r="H137" s="178">
        <f t="shared" si="8"/>
        <v>0</v>
      </c>
      <c r="I137" s="17">
        <f t="shared" si="13"/>
        <v>0</v>
      </c>
      <c r="J137" s="169">
        <f t="shared" si="13"/>
        <v>0</v>
      </c>
      <c r="K137" s="129"/>
    </row>
    <row r="138" spans="1:14" ht="25.5" hidden="1" customHeight="1">
      <c r="A138" s="28" t="s">
        <v>252</v>
      </c>
      <c r="B138" s="7" t="s">
        <v>257</v>
      </c>
      <c r="C138" s="7"/>
      <c r="D138" s="17">
        <f t="shared" si="12"/>
        <v>0</v>
      </c>
      <c r="E138" s="13">
        <f t="shared" si="11"/>
        <v>0</v>
      </c>
      <c r="F138" s="17">
        <f>F139</f>
        <v>0</v>
      </c>
      <c r="G138" s="17">
        <f>G139</f>
        <v>0</v>
      </c>
      <c r="H138" s="178">
        <f t="shared" ref="H138:H201" si="14">I138-G138</f>
        <v>0</v>
      </c>
      <c r="I138" s="17">
        <f t="shared" si="13"/>
        <v>0</v>
      </c>
      <c r="J138" s="169">
        <f t="shared" si="13"/>
        <v>0</v>
      </c>
      <c r="K138" s="129"/>
    </row>
    <row r="139" spans="1:14" ht="27" hidden="1" customHeight="1">
      <c r="A139" s="28" t="s">
        <v>252</v>
      </c>
      <c r="B139" s="7" t="s">
        <v>257</v>
      </c>
      <c r="C139" s="7"/>
      <c r="D139" s="17">
        <f>D151+D158+D168</f>
        <v>0</v>
      </c>
      <c r="E139" s="13">
        <f t="shared" si="11"/>
        <v>0</v>
      </c>
      <c r="F139" s="17">
        <f>F141+F168</f>
        <v>0</v>
      </c>
      <c r="G139" s="17">
        <f>G151+G158+G168</f>
        <v>0</v>
      </c>
      <c r="H139" s="178">
        <f t="shared" si="14"/>
        <v>0</v>
      </c>
      <c r="I139" s="17">
        <f>I141+I168</f>
        <v>0</v>
      </c>
      <c r="J139" s="169">
        <f>J141+J168</f>
        <v>0</v>
      </c>
      <c r="K139" s="129"/>
    </row>
    <row r="140" spans="1:14" ht="27" hidden="1" customHeight="1">
      <c r="A140" s="28" t="s">
        <v>393</v>
      </c>
      <c r="B140" s="7" t="s">
        <v>257</v>
      </c>
      <c r="C140" s="19"/>
      <c r="D140" s="17">
        <f>D142</f>
        <v>0</v>
      </c>
      <c r="E140" s="13">
        <f t="shared" si="11"/>
        <v>0</v>
      </c>
      <c r="F140" s="17">
        <f t="shared" ref="F140:F146" si="15">F141</f>
        <v>0</v>
      </c>
      <c r="G140" s="17">
        <f>G142</f>
        <v>0</v>
      </c>
      <c r="H140" s="178">
        <f t="shared" si="14"/>
        <v>0</v>
      </c>
      <c r="I140" s="17">
        <f t="shared" ref="I140:J146" si="16">I141</f>
        <v>0</v>
      </c>
      <c r="J140" s="169">
        <f t="shared" si="16"/>
        <v>0</v>
      </c>
      <c r="K140" s="129"/>
    </row>
    <row r="141" spans="1:14" ht="27" hidden="1" customHeight="1">
      <c r="A141" s="28" t="s">
        <v>252</v>
      </c>
      <c r="B141" s="7" t="s">
        <v>257</v>
      </c>
      <c r="C141" s="7"/>
      <c r="D141" s="17">
        <f>D142</f>
        <v>0</v>
      </c>
      <c r="E141" s="13">
        <f t="shared" si="11"/>
        <v>0</v>
      </c>
      <c r="F141" s="17">
        <f t="shared" si="15"/>
        <v>0</v>
      </c>
      <c r="G141" s="17">
        <f>G142</f>
        <v>0</v>
      </c>
      <c r="H141" s="178">
        <f t="shared" si="14"/>
        <v>0</v>
      </c>
      <c r="I141" s="17">
        <f t="shared" si="16"/>
        <v>0</v>
      </c>
      <c r="J141" s="169">
        <f t="shared" si="16"/>
        <v>0</v>
      </c>
      <c r="K141" s="129"/>
    </row>
    <row r="142" spans="1:14" ht="25.5" hidden="1" customHeight="1">
      <c r="A142" s="28" t="s">
        <v>252</v>
      </c>
      <c r="B142" s="15" t="s">
        <v>257</v>
      </c>
      <c r="C142" s="15"/>
      <c r="D142" s="17"/>
      <c r="E142" s="13">
        <f t="shared" si="11"/>
        <v>0</v>
      </c>
      <c r="F142" s="17">
        <f t="shared" si="15"/>
        <v>0</v>
      </c>
      <c r="G142" s="17"/>
      <c r="H142" s="178">
        <f t="shared" si="14"/>
        <v>0</v>
      </c>
      <c r="I142" s="17">
        <f t="shared" si="16"/>
        <v>0</v>
      </c>
      <c r="J142" s="169">
        <f t="shared" si="16"/>
        <v>0</v>
      </c>
      <c r="K142" s="129"/>
    </row>
    <row r="143" spans="1:14" ht="13.5" hidden="1" customHeight="1">
      <c r="A143" s="28" t="s">
        <v>252</v>
      </c>
      <c r="B143" s="7" t="s">
        <v>257</v>
      </c>
      <c r="C143" s="15"/>
      <c r="D143" s="17"/>
      <c r="E143" s="13">
        <f t="shared" si="11"/>
        <v>0</v>
      </c>
      <c r="F143" s="17">
        <f t="shared" si="15"/>
        <v>0</v>
      </c>
      <c r="G143" s="17"/>
      <c r="H143" s="178">
        <f t="shared" si="14"/>
        <v>0</v>
      </c>
      <c r="I143" s="17">
        <f t="shared" si="16"/>
        <v>0</v>
      </c>
      <c r="J143" s="169">
        <f t="shared" si="16"/>
        <v>0</v>
      </c>
      <c r="K143" s="129"/>
    </row>
    <row r="144" spans="1:14" ht="38.25" hidden="1" customHeight="1">
      <c r="A144" s="28" t="s">
        <v>252</v>
      </c>
      <c r="B144" s="15" t="s">
        <v>257</v>
      </c>
      <c r="C144" s="54"/>
      <c r="D144" s="17">
        <f t="shared" ref="D144:D151" si="17">D145</f>
        <v>0</v>
      </c>
      <c r="E144" s="13">
        <f t="shared" si="11"/>
        <v>0</v>
      </c>
      <c r="F144" s="17">
        <f t="shared" si="15"/>
        <v>0</v>
      </c>
      <c r="G144" s="17">
        <f t="shared" ref="G144:G151" si="18">G145</f>
        <v>0</v>
      </c>
      <c r="H144" s="178">
        <f t="shared" si="14"/>
        <v>0</v>
      </c>
      <c r="I144" s="17">
        <f t="shared" si="16"/>
        <v>0</v>
      </c>
      <c r="J144" s="169">
        <f t="shared" si="16"/>
        <v>0</v>
      </c>
      <c r="K144" s="129"/>
      <c r="L144" s="47"/>
      <c r="M144" s="47"/>
      <c r="N144" s="47"/>
    </row>
    <row r="145" spans="1:11" ht="25.5" hidden="1" customHeight="1">
      <c r="A145" s="28" t="s">
        <v>252</v>
      </c>
      <c r="B145" s="7" t="s">
        <v>257</v>
      </c>
      <c r="C145" s="4"/>
      <c r="D145" s="17">
        <f t="shared" si="17"/>
        <v>0</v>
      </c>
      <c r="E145" s="13">
        <f t="shared" si="11"/>
        <v>0</v>
      </c>
      <c r="F145" s="17">
        <f t="shared" si="15"/>
        <v>0</v>
      </c>
      <c r="G145" s="17">
        <f t="shared" si="18"/>
        <v>0</v>
      </c>
      <c r="H145" s="178">
        <f t="shared" si="14"/>
        <v>0</v>
      </c>
      <c r="I145" s="17">
        <f t="shared" si="16"/>
        <v>0</v>
      </c>
      <c r="J145" s="169">
        <f t="shared" si="16"/>
        <v>0</v>
      </c>
      <c r="K145" s="129"/>
    </row>
    <row r="146" spans="1:11" ht="25.5" hidden="1" customHeight="1">
      <c r="A146" s="28" t="s">
        <v>393</v>
      </c>
      <c r="B146" s="15" t="s">
        <v>257</v>
      </c>
      <c r="C146" s="15"/>
      <c r="D146" s="17">
        <f t="shared" si="17"/>
        <v>0</v>
      </c>
      <c r="E146" s="13">
        <f t="shared" si="11"/>
        <v>0</v>
      </c>
      <c r="F146" s="17">
        <f t="shared" si="15"/>
        <v>0</v>
      </c>
      <c r="G146" s="17">
        <f t="shared" si="18"/>
        <v>0</v>
      </c>
      <c r="H146" s="178">
        <f t="shared" si="14"/>
        <v>0</v>
      </c>
      <c r="I146" s="17">
        <f t="shared" si="16"/>
        <v>0</v>
      </c>
      <c r="J146" s="169">
        <f t="shared" si="16"/>
        <v>0</v>
      </c>
      <c r="K146" s="129"/>
    </row>
    <row r="147" spans="1:11" ht="38.25" hidden="1" customHeight="1">
      <c r="A147" s="28" t="s">
        <v>252</v>
      </c>
      <c r="B147" s="7" t="s">
        <v>257</v>
      </c>
      <c r="C147" s="7"/>
      <c r="D147" s="17">
        <f t="shared" si="17"/>
        <v>0</v>
      </c>
      <c r="E147" s="13">
        <f t="shared" si="11"/>
        <v>0</v>
      </c>
      <c r="F147" s="17"/>
      <c r="G147" s="17">
        <f t="shared" si="18"/>
        <v>0</v>
      </c>
      <c r="H147" s="178">
        <f t="shared" si="14"/>
        <v>0</v>
      </c>
      <c r="I147" s="180">
        <v>0</v>
      </c>
      <c r="J147" s="180">
        <v>0</v>
      </c>
      <c r="K147" s="129"/>
    </row>
    <row r="148" spans="1:11" ht="25.5" hidden="1" customHeight="1">
      <c r="A148" s="28" t="s">
        <v>252</v>
      </c>
      <c r="B148" s="15" t="s">
        <v>257</v>
      </c>
      <c r="C148" s="15"/>
      <c r="D148" s="17">
        <f t="shared" si="17"/>
        <v>0</v>
      </c>
      <c r="E148" s="13">
        <f t="shared" si="11"/>
        <v>0</v>
      </c>
      <c r="F148" s="17">
        <f>F149</f>
        <v>0</v>
      </c>
      <c r="G148" s="17">
        <f t="shared" si="18"/>
        <v>0</v>
      </c>
      <c r="H148" s="178">
        <f t="shared" si="14"/>
        <v>0</v>
      </c>
      <c r="I148" s="17">
        <f>I149</f>
        <v>0</v>
      </c>
      <c r="J148" s="169">
        <f>J149</f>
        <v>0</v>
      </c>
      <c r="K148" s="129"/>
    </row>
    <row r="149" spans="1:11" ht="25.5" hidden="1" customHeight="1">
      <c r="A149" s="28" t="s">
        <v>252</v>
      </c>
      <c r="B149" s="7" t="s">
        <v>257</v>
      </c>
      <c r="C149" s="15"/>
      <c r="D149" s="17">
        <f t="shared" si="17"/>
        <v>0</v>
      </c>
      <c r="E149" s="13">
        <f t="shared" si="11"/>
        <v>0</v>
      </c>
      <c r="F149" s="17">
        <f>F150</f>
        <v>0</v>
      </c>
      <c r="G149" s="17">
        <f t="shared" si="18"/>
        <v>0</v>
      </c>
      <c r="H149" s="178">
        <f t="shared" si="14"/>
        <v>0</v>
      </c>
      <c r="I149" s="17">
        <f>I150</f>
        <v>0</v>
      </c>
      <c r="J149" s="169">
        <f>J150</f>
        <v>0</v>
      </c>
      <c r="K149" s="129"/>
    </row>
    <row r="150" spans="1:11" ht="15" hidden="1" customHeight="1">
      <c r="A150" s="28" t="s">
        <v>252</v>
      </c>
      <c r="B150" s="15" t="s">
        <v>257</v>
      </c>
      <c r="C150" s="15"/>
      <c r="D150" s="17">
        <f t="shared" si="17"/>
        <v>0</v>
      </c>
      <c r="E150" s="13">
        <f t="shared" si="11"/>
        <v>0</v>
      </c>
      <c r="F150" s="17"/>
      <c r="G150" s="17">
        <f t="shared" si="18"/>
        <v>0</v>
      </c>
      <c r="H150" s="178">
        <f t="shared" si="14"/>
        <v>0</v>
      </c>
      <c r="I150" s="180">
        <v>0</v>
      </c>
      <c r="J150" s="180">
        <v>0</v>
      </c>
    </row>
    <row r="151" spans="1:11" ht="15" customHeight="1">
      <c r="A151" s="46" t="s">
        <v>38</v>
      </c>
      <c r="B151" s="39" t="s">
        <v>614</v>
      </c>
      <c r="C151" s="7"/>
      <c r="D151" s="13">
        <f t="shared" si="17"/>
        <v>0</v>
      </c>
      <c r="E151" s="13">
        <f t="shared" si="11"/>
        <v>1227.27</v>
      </c>
      <c r="F151" s="13">
        <f>F152</f>
        <v>1227.27</v>
      </c>
      <c r="G151" s="13">
        <f t="shared" si="18"/>
        <v>0</v>
      </c>
      <c r="H151" s="178">
        <f t="shared" si="14"/>
        <v>1211.05</v>
      </c>
      <c r="I151" s="13">
        <f t="shared" ref="I151:J154" si="19">I152</f>
        <v>1211.05</v>
      </c>
      <c r="J151" s="168">
        <f t="shared" si="19"/>
        <v>1211.05</v>
      </c>
    </row>
    <row r="152" spans="1:11" ht="25.5" customHeight="1">
      <c r="A152" s="46" t="s">
        <v>38</v>
      </c>
      <c r="B152" s="39" t="s">
        <v>614</v>
      </c>
      <c r="C152" s="7"/>
      <c r="D152" s="17">
        <f>D162</f>
        <v>0</v>
      </c>
      <c r="E152" s="13">
        <f t="shared" si="11"/>
        <v>1227.27</v>
      </c>
      <c r="F152" s="17">
        <f>F153</f>
        <v>1227.27</v>
      </c>
      <c r="G152" s="17">
        <f>G162</f>
        <v>0</v>
      </c>
      <c r="H152" s="178">
        <f t="shared" si="14"/>
        <v>1211.05</v>
      </c>
      <c r="I152" s="17">
        <f t="shared" si="19"/>
        <v>1211.05</v>
      </c>
      <c r="J152" s="169">
        <f t="shared" si="19"/>
        <v>1211.05</v>
      </c>
      <c r="K152" s="129"/>
    </row>
    <row r="153" spans="1:11" ht="25.5" customHeight="1">
      <c r="A153" s="28" t="s">
        <v>45</v>
      </c>
      <c r="B153" s="16" t="s">
        <v>615</v>
      </c>
      <c r="C153" s="15"/>
      <c r="D153" s="13">
        <f>D160+D163</f>
        <v>0</v>
      </c>
      <c r="E153" s="13">
        <f t="shared" si="11"/>
        <v>1227.27</v>
      </c>
      <c r="F153" s="13">
        <f>F154</f>
        <v>1227.27</v>
      </c>
      <c r="G153" s="13">
        <f>G160+G163</f>
        <v>0</v>
      </c>
      <c r="H153" s="178">
        <f t="shared" si="14"/>
        <v>1211.05</v>
      </c>
      <c r="I153" s="13">
        <f t="shared" si="19"/>
        <v>1211.05</v>
      </c>
      <c r="J153" s="168">
        <f t="shared" si="19"/>
        <v>1211.05</v>
      </c>
    </row>
    <row r="154" spans="1:11" ht="25.5" customHeight="1">
      <c r="A154" s="28" t="s">
        <v>275</v>
      </c>
      <c r="B154" s="39" t="s">
        <v>615</v>
      </c>
      <c r="C154" s="7"/>
      <c r="D154" s="17"/>
      <c r="E154" s="13">
        <f t="shared" si="11"/>
        <v>1227.27</v>
      </c>
      <c r="F154" s="17">
        <f>F155</f>
        <v>1227.27</v>
      </c>
      <c r="G154" s="17"/>
      <c r="H154" s="178">
        <f t="shared" si="14"/>
        <v>1211.05</v>
      </c>
      <c r="I154" s="17">
        <f t="shared" si="19"/>
        <v>1211.05</v>
      </c>
      <c r="J154" s="169">
        <f t="shared" si="19"/>
        <v>1211.05</v>
      </c>
      <c r="K154" s="129"/>
    </row>
    <row r="155" spans="1:11" ht="25.5" customHeight="1">
      <c r="A155" s="28" t="s">
        <v>541</v>
      </c>
      <c r="B155" s="16" t="s">
        <v>616</v>
      </c>
      <c r="C155" s="15"/>
      <c r="D155" s="13"/>
      <c r="E155" s="13">
        <f t="shared" si="11"/>
        <v>1227.27</v>
      </c>
      <c r="F155" s="13">
        <f>F156+F157+F158+F159+F160</f>
        <v>1227.27</v>
      </c>
      <c r="G155" s="13"/>
      <c r="H155" s="178">
        <f t="shared" si="14"/>
        <v>1211.05</v>
      </c>
      <c r="I155" s="13">
        <f>I156+I157+I158+I159+I160</f>
        <v>1211.05</v>
      </c>
      <c r="J155" s="168">
        <f>J156+J157+J158+J159+J160</f>
        <v>1211.05</v>
      </c>
    </row>
    <row r="156" spans="1:11" ht="17.25" customHeight="1">
      <c r="A156" s="161" t="s">
        <v>489</v>
      </c>
      <c r="B156" s="16" t="s">
        <v>616</v>
      </c>
      <c r="C156" s="7" t="s">
        <v>42</v>
      </c>
      <c r="D156" s="13"/>
      <c r="E156" s="13">
        <f t="shared" si="11"/>
        <v>904.08999999999992</v>
      </c>
      <c r="F156" s="13">
        <f>1071.36-167.27</f>
        <v>904.08999999999992</v>
      </c>
      <c r="G156" s="13"/>
      <c r="H156" s="178">
        <f t="shared" si="14"/>
        <v>904.08999999999992</v>
      </c>
      <c r="I156" s="13">
        <f>1071.36-167.27</f>
        <v>904.08999999999992</v>
      </c>
      <c r="J156" s="168">
        <f>1071.36-167.27</f>
        <v>904.08999999999992</v>
      </c>
      <c r="K156" s="181">
        <f>I156-J156</f>
        <v>0</v>
      </c>
    </row>
    <row r="157" spans="1:11" ht="25.5" customHeight="1">
      <c r="A157" s="28" t="s">
        <v>46</v>
      </c>
      <c r="B157" s="16" t="s">
        <v>616</v>
      </c>
      <c r="C157" s="7" t="s">
        <v>47</v>
      </c>
      <c r="D157" s="13"/>
      <c r="E157" s="13">
        <f t="shared" si="11"/>
        <v>33.6</v>
      </c>
      <c r="F157" s="13">
        <v>33.6</v>
      </c>
      <c r="G157" s="13"/>
      <c r="H157" s="178">
        <f t="shared" si="14"/>
        <v>33.6</v>
      </c>
      <c r="I157" s="13">
        <v>33.6</v>
      </c>
      <c r="J157" s="168">
        <v>33.6</v>
      </c>
      <c r="K157" s="181">
        <f>I157-J157</f>
        <v>0</v>
      </c>
    </row>
    <row r="158" spans="1:11" ht="25.5" customHeight="1">
      <c r="A158" s="28" t="s">
        <v>276</v>
      </c>
      <c r="B158" s="16" t="s">
        <v>616</v>
      </c>
      <c r="C158" s="7" t="s">
        <v>44</v>
      </c>
      <c r="D158" s="13"/>
      <c r="E158" s="13">
        <f t="shared" si="11"/>
        <v>273.04000000000002</v>
      </c>
      <c r="F158" s="13">
        <f>323.55-50.51</f>
        <v>273.04000000000002</v>
      </c>
      <c r="G158" s="13"/>
      <c r="H158" s="178">
        <f t="shared" si="14"/>
        <v>273.04000000000002</v>
      </c>
      <c r="I158" s="13">
        <f>323.55-50.51</f>
        <v>273.04000000000002</v>
      </c>
      <c r="J158" s="168">
        <f>323.55-50.51</f>
        <v>273.04000000000002</v>
      </c>
      <c r="K158" s="181">
        <f>I158-J158</f>
        <v>0</v>
      </c>
    </row>
    <row r="159" spans="1:11" ht="25.5" customHeight="1">
      <c r="A159" s="161" t="s">
        <v>491</v>
      </c>
      <c r="B159" s="16" t="s">
        <v>616</v>
      </c>
      <c r="C159" s="7" t="s">
        <v>20</v>
      </c>
      <c r="D159" s="13"/>
      <c r="E159" s="13">
        <f t="shared" si="11"/>
        <v>16.219999999999963</v>
      </c>
      <c r="F159" s="13">
        <f>1445.05-1428.51-0.32</f>
        <v>16.219999999999963</v>
      </c>
      <c r="G159" s="13"/>
      <c r="H159" s="178">
        <f t="shared" si="14"/>
        <v>0</v>
      </c>
      <c r="I159" s="179">
        <v>0</v>
      </c>
      <c r="J159" s="168"/>
      <c r="K159" s="181">
        <f>I159-J159</f>
        <v>0</v>
      </c>
    </row>
    <row r="160" spans="1:11" ht="21.75" customHeight="1">
      <c r="A160" s="28" t="s">
        <v>32</v>
      </c>
      <c r="B160" s="16" t="s">
        <v>616</v>
      </c>
      <c r="C160" s="7" t="s">
        <v>33</v>
      </c>
      <c r="D160" s="13"/>
      <c r="E160" s="13">
        <f t="shared" si="11"/>
        <v>0.32</v>
      </c>
      <c r="F160" s="13">
        <v>0.32</v>
      </c>
      <c r="G160" s="13"/>
      <c r="H160" s="178">
        <f t="shared" si="14"/>
        <v>0.32</v>
      </c>
      <c r="I160" s="13">
        <v>0.32</v>
      </c>
      <c r="J160" s="168">
        <v>0.32</v>
      </c>
      <c r="K160" s="181">
        <f>I160-J160</f>
        <v>0</v>
      </c>
    </row>
    <row r="161" spans="1:11" ht="13.5" customHeight="1">
      <c r="A161" s="28" t="s">
        <v>545</v>
      </c>
      <c r="B161" s="39" t="s">
        <v>616</v>
      </c>
      <c r="C161" s="7"/>
      <c r="D161" s="17"/>
      <c r="E161" s="13">
        <f t="shared" si="11"/>
        <v>7285.0999999999985</v>
      </c>
      <c r="F161" s="17">
        <f>SUM(F162:F168)</f>
        <v>7285.0999999999985</v>
      </c>
      <c r="G161" s="17"/>
      <c r="H161" s="178">
        <f t="shared" si="14"/>
        <v>6889.1200000000008</v>
      </c>
      <c r="I161" s="17">
        <f>SUM(I162:I168)</f>
        <v>6889.1200000000008</v>
      </c>
      <c r="J161" s="169">
        <f>SUM(J162:J168)</f>
        <v>6889.1200000000008</v>
      </c>
      <c r="K161" s="129"/>
    </row>
    <row r="162" spans="1:11" ht="25.5" customHeight="1">
      <c r="A162" s="161" t="s">
        <v>489</v>
      </c>
      <c r="B162" s="39" t="s">
        <v>616</v>
      </c>
      <c r="C162" s="15" t="s">
        <v>42</v>
      </c>
      <c r="D162" s="17"/>
      <c r="E162" s="13">
        <f t="shared" si="11"/>
        <v>4861.38</v>
      </c>
      <c r="F162" s="17">
        <f>6701.31-1839.93</f>
        <v>4861.38</v>
      </c>
      <c r="G162" s="17"/>
      <c r="H162" s="178">
        <f t="shared" si="14"/>
        <v>4861.38</v>
      </c>
      <c r="I162" s="17">
        <f>6701.31-1839.93</f>
        <v>4861.38</v>
      </c>
      <c r="J162" s="169">
        <f>6701.31-1839.93</f>
        <v>4861.38</v>
      </c>
      <c r="K162" s="181">
        <f t="shared" ref="K162:K168" si="20">I162-J162</f>
        <v>0</v>
      </c>
    </row>
    <row r="163" spans="1:11" ht="39.75" customHeight="1">
      <c r="A163" s="28" t="s">
        <v>46</v>
      </c>
      <c r="B163" s="39" t="s">
        <v>616</v>
      </c>
      <c r="C163" s="15" t="s">
        <v>47</v>
      </c>
      <c r="D163" s="17"/>
      <c r="E163" s="13">
        <f t="shared" si="11"/>
        <v>537.6</v>
      </c>
      <c r="F163" s="17">
        <v>537.6</v>
      </c>
      <c r="G163" s="17"/>
      <c r="H163" s="178">
        <f t="shared" si="14"/>
        <v>537.6</v>
      </c>
      <c r="I163" s="17">
        <v>537.6</v>
      </c>
      <c r="J163" s="169">
        <v>537.6</v>
      </c>
      <c r="K163" s="181">
        <f t="shared" si="20"/>
        <v>0</v>
      </c>
    </row>
    <row r="164" spans="1:11" ht="25.5" customHeight="1">
      <c r="A164" s="28" t="s">
        <v>276</v>
      </c>
      <c r="B164" s="39" t="s">
        <v>616</v>
      </c>
      <c r="C164" s="7" t="s">
        <v>44</v>
      </c>
      <c r="D164" s="17"/>
      <c r="E164" s="13">
        <f t="shared" si="11"/>
        <v>1468.1399999999999</v>
      </c>
      <c r="F164" s="17">
        <f>2023.8-555.66</f>
        <v>1468.1399999999999</v>
      </c>
      <c r="G164" s="17"/>
      <c r="H164" s="178">
        <f t="shared" si="14"/>
        <v>1468.1399999999999</v>
      </c>
      <c r="I164" s="17">
        <f>2023.8-555.66</f>
        <v>1468.1399999999999</v>
      </c>
      <c r="J164" s="169">
        <f>2023.8-555.66</f>
        <v>1468.1399999999999</v>
      </c>
      <c r="K164" s="181">
        <f t="shared" si="20"/>
        <v>0</v>
      </c>
    </row>
    <row r="165" spans="1:11" ht="38.25" customHeight="1">
      <c r="A165" s="161" t="s">
        <v>491</v>
      </c>
      <c r="B165" s="39" t="s">
        <v>616</v>
      </c>
      <c r="C165" s="7" t="s">
        <v>20</v>
      </c>
      <c r="D165" s="17"/>
      <c r="E165" s="13">
        <f t="shared" si="11"/>
        <v>395.97999999999809</v>
      </c>
      <c r="F165" s="17">
        <f>3822.29+5858.4-8725.11-537.6-22</f>
        <v>395.97999999999809</v>
      </c>
      <c r="G165" s="17"/>
      <c r="H165" s="178">
        <f t="shared" si="14"/>
        <v>0</v>
      </c>
      <c r="I165" s="179">
        <v>0</v>
      </c>
      <c r="J165" s="169"/>
      <c r="K165" s="181">
        <f t="shared" si="20"/>
        <v>0</v>
      </c>
    </row>
    <row r="166" spans="1:11" ht="24.75" customHeight="1">
      <c r="A166" s="28" t="s">
        <v>30</v>
      </c>
      <c r="B166" s="39" t="s">
        <v>616</v>
      </c>
      <c r="C166" s="7" t="s">
        <v>31</v>
      </c>
      <c r="D166" s="17"/>
      <c r="E166" s="13">
        <f t="shared" si="11"/>
        <v>22</v>
      </c>
      <c r="F166" s="17">
        <v>22</v>
      </c>
      <c r="G166" s="17"/>
      <c r="H166" s="178">
        <f t="shared" si="14"/>
        <v>22</v>
      </c>
      <c r="I166" s="17">
        <v>22</v>
      </c>
      <c r="J166" s="169">
        <v>22</v>
      </c>
      <c r="K166" s="181">
        <f t="shared" si="20"/>
        <v>0</v>
      </c>
    </row>
    <row r="167" spans="1:11" ht="18" customHeight="1">
      <c r="A167" s="28" t="s">
        <v>32</v>
      </c>
      <c r="B167" s="39" t="s">
        <v>616</v>
      </c>
      <c r="C167" s="4" t="s">
        <v>33</v>
      </c>
      <c r="D167" s="17"/>
      <c r="E167" s="13">
        <f t="shared" si="11"/>
        <v>0</v>
      </c>
      <c r="F167" s="17"/>
      <c r="G167" s="17"/>
      <c r="H167" s="178">
        <f t="shared" si="14"/>
        <v>0</v>
      </c>
      <c r="I167" s="180">
        <v>0</v>
      </c>
      <c r="J167" s="180">
        <v>0</v>
      </c>
      <c r="K167" s="181">
        <f t="shared" si="20"/>
        <v>0</v>
      </c>
    </row>
    <row r="168" spans="1:11" ht="21" customHeight="1">
      <c r="A168" s="28" t="s">
        <v>21</v>
      </c>
      <c r="B168" s="39" t="s">
        <v>616</v>
      </c>
      <c r="C168" s="4" t="s">
        <v>22</v>
      </c>
      <c r="D168" s="17"/>
      <c r="E168" s="13">
        <f t="shared" si="11"/>
        <v>0</v>
      </c>
      <c r="F168" s="17"/>
      <c r="G168" s="17"/>
      <c r="H168" s="178">
        <f t="shared" si="14"/>
        <v>0</v>
      </c>
      <c r="I168" s="180">
        <v>0</v>
      </c>
      <c r="J168" s="180">
        <v>0</v>
      </c>
      <c r="K168" s="181">
        <f t="shared" si="20"/>
        <v>0</v>
      </c>
    </row>
    <row r="169" spans="1:11" ht="27.75" customHeight="1">
      <c r="A169" s="28" t="s">
        <v>109</v>
      </c>
      <c r="B169" s="16" t="s">
        <v>617</v>
      </c>
      <c r="C169" s="4"/>
      <c r="D169" s="17">
        <f>D179+D182</f>
        <v>189009.88</v>
      </c>
      <c r="E169" s="13">
        <f t="shared" si="11"/>
        <v>-171666.59</v>
      </c>
      <c r="F169" s="17">
        <f>F170+F179</f>
        <v>17343.29</v>
      </c>
      <c r="G169" s="17">
        <f>G179+G182</f>
        <v>189009.88</v>
      </c>
      <c r="H169" s="178">
        <f t="shared" si="14"/>
        <v>-173674.72</v>
      </c>
      <c r="I169" s="17">
        <f>I170+I179</f>
        <v>15335.16</v>
      </c>
      <c r="J169" s="169">
        <f>J170+J179</f>
        <v>15335.16</v>
      </c>
      <c r="K169" s="129"/>
    </row>
    <row r="170" spans="1:11" ht="25.5" customHeight="1">
      <c r="A170" s="28" t="s">
        <v>110</v>
      </c>
      <c r="B170" s="16" t="s">
        <v>618</v>
      </c>
      <c r="C170" s="4"/>
      <c r="D170" s="17"/>
      <c r="E170" s="13">
        <f t="shared" si="11"/>
        <v>8419.9500000000007</v>
      </c>
      <c r="F170" s="17">
        <f>F171+F177</f>
        <v>8419.9500000000007</v>
      </c>
      <c r="G170" s="17"/>
      <c r="H170" s="178">
        <f t="shared" si="14"/>
        <v>6411.82</v>
      </c>
      <c r="I170" s="17">
        <f>I171+I177</f>
        <v>6411.82</v>
      </c>
      <c r="J170" s="169">
        <f>J171+J177</f>
        <v>6411.82</v>
      </c>
      <c r="K170" s="129"/>
    </row>
    <row r="171" spans="1:11" ht="38.25" customHeight="1">
      <c r="A171" s="28" t="s">
        <v>546</v>
      </c>
      <c r="B171" s="16" t="s">
        <v>619</v>
      </c>
      <c r="C171" s="4"/>
      <c r="D171" s="17"/>
      <c r="E171" s="13">
        <f t="shared" si="11"/>
        <v>5730.18</v>
      </c>
      <c r="F171" s="17">
        <f>SUM(F172:F176)</f>
        <v>5730.18</v>
      </c>
      <c r="G171" s="17"/>
      <c r="H171" s="178">
        <f t="shared" si="14"/>
        <v>3722.05</v>
      </c>
      <c r="I171" s="17">
        <f>SUM(I172:I176)</f>
        <v>3722.05</v>
      </c>
      <c r="J171" s="169">
        <f>SUM(J172:J176)</f>
        <v>3722.05</v>
      </c>
      <c r="K171" s="129"/>
    </row>
    <row r="172" spans="1:11" ht="25.5" customHeight="1">
      <c r="A172" s="161" t="s">
        <v>489</v>
      </c>
      <c r="B172" s="16" t="s">
        <v>619</v>
      </c>
      <c r="C172" s="7" t="s">
        <v>11</v>
      </c>
      <c r="D172" s="17"/>
      <c r="E172" s="13">
        <f t="shared" si="11"/>
        <v>2582.71</v>
      </c>
      <c r="F172" s="17">
        <f>3419.04-836.33</f>
        <v>2582.71</v>
      </c>
      <c r="G172" s="17"/>
      <c r="H172" s="178">
        <f t="shared" si="14"/>
        <v>2582.71</v>
      </c>
      <c r="I172" s="17">
        <f>3419.04-836.33</f>
        <v>2582.71</v>
      </c>
      <c r="J172" s="169">
        <f>3419.04-836.33</f>
        <v>2582.71</v>
      </c>
      <c r="K172" s="181">
        <f>I172-J172</f>
        <v>0</v>
      </c>
    </row>
    <row r="173" spans="1:11" ht="25.5" customHeight="1">
      <c r="A173" s="32" t="s">
        <v>15</v>
      </c>
      <c r="B173" s="16" t="s">
        <v>619</v>
      </c>
      <c r="C173" s="7" t="s">
        <v>16</v>
      </c>
      <c r="D173" s="17"/>
      <c r="E173" s="13">
        <f t="shared" si="11"/>
        <v>90</v>
      </c>
      <c r="F173" s="17">
        <v>90</v>
      </c>
      <c r="G173" s="17"/>
      <c r="H173" s="178">
        <f t="shared" si="14"/>
        <v>90</v>
      </c>
      <c r="I173" s="17">
        <v>90</v>
      </c>
      <c r="J173" s="169">
        <v>90</v>
      </c>
      <c r="K173" s="181">
        <f>I173-J173</f>
        <v>0</v>
      </c>
    </row>
    <row r="174" spans="1:11" ht="25.5" customHeight="1">
      <c r="A174" s="28" t="s">
        <v>12</v>
      </c>
      <c r="B174" s="16" t="s">
        <v>619</v>
      </c>
      <c r="C174" s="7" t="s">
        <v>13</v>
      </c>
      <c r="D174" s="17"/>
      <c r="E174" s="13">
        <f t="shared" si="11"/>
        <v>779.98</v>
      </c>
      <c r="F174" s="17">
        <f>1032.55-252.57</f>
        <v>779.98</v>
      </c>
      <c r="G174" s="17"/>
      <c r="H174" s="178">
        <f t="shared" si="14"/>
        <v>779.98</v>
      </c>
      <c r="I174" s="17">
        <f>1032.55-252.57</f>
        <v>779.98</v>
      </c>
      <c r="J174" s="169">
        <f>1032.55-252.57</f>
        <v>779.98</v>
      </c>
      <c r="K174" s="181">
        <f>I174-J174</f>
        <v>0</v>
      </c>
    </row>
    <row r="175" spans="1:11" ht="25.5" customHeight="1">
      <c r="A175" s="28" t="s">
        <v>19</v>
      </c>
      <c r="B175" s="16" t="s">
        <v>619</v>
      </c>
      <c r="C175" s="7" t="s">
        <v>20</v>
      </c>
      <c r="D175" s="17"/>
      <c r="E175" s="13">
        <f t="shared" si="11"/>
        <v>2008.1300000000003</v>
      </c>
      <c r="F175" s="17">
        <f>9508.85-2582.71-90-779.98-269.36-2689.77-836.33-252.57</f>
        <v>2008.1300000000003</v>
      </c>
      <c r="G175" s="17"/>
      <c r="H175" s="178">
        <f t="shared" si="14"/>
        <v>0</v>
      </c>
      <c r="I175" s="179">
        <v>0</v>
      </c>
      <c r="J175" s="169"/>
      <c r="K175" s="181">
        <f>I175-J175</f>
        <v>0</v>
      </c>
    </row>
    <row r="176" spans="1:11" ht="38.25" customHeight="1">
      <c r="A176" s="28" t="s">
        <v>30</v>
      </c>
      <c r="B176" s="16" t="s">
        <v>619</v>
      </c>
      <c r="C176" s="4" t="s">
        <v>31</v>
      </c>
      <c r="D176" s="17"/>
      <c r="E176" s="13">
        <f t="shared" si="11"/>
        <v>269.36</v>
      </c>
      <c r="F176" s="17">
        <v>269.36</v>
      </c>
      <c r="G176" s="17"/>
      <c r="H176" s="178">
        <f t="shared" si="14"/>
        <v>269.36</v>
      </c>
      <c r="I176" s="17">
        <v>269.36</v>
      </c>
      <c r="J176" s="169">
        <v>269.36</v>
      </c>
      <c r="K176" s="181">
        <f>I176-J176</f>
        <v>0</v>
      </c>
    </row>
    <row r="177" spans="1:11" ht="31.5" customHeight="1">
      <c r="A177" s="14" t="s">
        <v>297</v>
      </c>
      <c r="B177" s="16" t="s">
        <v>620</v>
      </c>
      <c r="C177" s="7"/>
      <c r="D177" s="17"/>
      <c r="E177" s="13">
        <f t="shared" si="11"/>
        <v>2689.77</v>
      </c>
      <c r="F177" s="17">
        <f>F178</f>
        <v>2689.77</v>
      </c>
      <c r="G177" s="17"/>
      <c r="H177" s="178">
        <f t="shared" si="14"/>
        <v>2689.77</v>
      </c>
      <c r="I177" s="17">
        <f>I178</f>
        <v>2689.77</v>
      </c>
      <c r="J177" s="169">
        <f>J178</f>
        <v>2689.77</v>
      </c>
      <c r="K177" s="129"/>
    </row>
    <row r="178" spans="1:11" ht="30.75" customHeight="1">
      <c r="A178" s="28" t="s">
        <v>19</v>
      </c>
      <c r="B178" s="16" t="s">
        <v>620</v>
      </c>
      <c r="C178" s="7" t="s">
        <v>20</v>
      </c>
      <c r="D178" s="17"/>
      <c r="E178" s="13">
        <f t="shared" si="11"/>
        <v>2689.77</v>
      </c>
      <c r="F178" s="17">
        <v>2689.77</v>
      </c>
      <c r="G178" s="17"/>
      <c r="H178" s="178">
        <f t="shared" si="14"/>
        <v>2689.77</v>
      </c>
      <c r="I178" s="17">
        <v>2689.77</v>
      </c>
      <c r="J178" s="169">
        <v>2689.77</v>
      </c>
      <c r="K178" s="181">
        <f>I178-J178</f>
        <v>0</v>
      </c>
    </row>
    <row r="179" spans="1:11" ht="25.5" customHeight="1">
      <c r="A179" s="28" t="s">
        <v>56</v>
      </c>
      <c r="B179" s="16" t="s">
        <v>621</v>
      </c>
      <c r="C179" s="4"/>
      <c r="D179" s="17">
        <f>SUBTOTAL(9,D180:D181)</f>
        <v>8385</v>
      </c>
      <c r="E179" s="13">
        <f t="shared" si="11"/>
        <v>538.34000000000015</v>
      </c>
      <c r="F179" s="17">
        <f>F180+F181</f>
        <v>8923.34</v>
      </c>
      <c r="G179" s="17">
        <f>SUBTOTAL(9,G180:G181)</f>
        <v>8385</v>
      </c>
      <c r="H179" s="178">
        <f t="shared" si="14"/>
        <v>538.34000000000015</v>
      </c>
      <c r="I179" s="17">
        <f>I180+I181</f>
        <v>8923.34</v>
      </c>
      <c r="J179" s="169">
        <f>J180+J181</f>
        <v>8923.34</v>
      </c>
      <c r="K179" s="129"/>
    </row>
    <row r="180" spans="1:11" ht="25.5" customHeight="1">
      <c r="A180" s="28" t="s">
        <v>10</v>
      </c>
      <c r="B180" s="16" t="s">
        <v>621</v>
      </c>
      <c r="C180" s="15" t="s">
        <v>11</v>
      </c>
      <c r="D180" s="17">
        <v>6440.1</v>
      </c>
      <c r="E180" s="13">
        <f t="shared" si="11"/>
        <v>413.46000000000004</v>
      </c>
      <c r="F180" s="17">
        <v>6853.56</v>
      </c>
      <c r="G180" s="17">
        <v>6440.1</v>
      </c>
      <c r="H180" s="178">
        <f t="shared" si="14"/>
        <v>413.46000000000004</v>
      </c>
      <c r="I180" s="17">
        <v>6853.56</v>
      </c>
      <c r="J180" s="169">
        <v>6853.56</v>
      </c>
      <c r="K180" s="132" t="s">
        <v>523</v>
      </c>
    </row>
    <row r="181" spans="1:11" ht="38.25" customHeight="1">
      <c r="A181" s="28" t="s">
        <v>12</v>
      </c>
      <c r="B181" s="16" t="s">
        <v>621</v>
      </c>
      <c r="C181" s="15" t="s">
        <v>13</v>
      </c>
      <c r="D181" s="17">
        <v>1944.9</v>
      </c>
      <c r="E181" s="13">
        <f t="shared" si="11"/>
        <v>124.88000000000011</v>
      </c>
      <c r="F181" s="17">
        <v>2069.7800000000002</v>
      </c>
      <c r="G181" s="17">
        <v>1944.9</v>
      </c>
      <c r="H181" s="178">
        <f t="shared" si="14"/>
        <v>124.88000000000011</v>
      </c>
      <c r="I181" s="17">
        <v>2069.7800000000002</v>
      </c>
      <c r="J181" s="169">
        <v>2069.7800000000002</v>
      </c>
      <c r="K181" s="132" t="s">
        <v>523</v>
      </c>
    </row>
    <row r="182" spans="1:11" ht="14.25" customHeight="1">
      <c r="A182" s="28" t="s">
        <v>256</v>
      </c>
      <c r="B182" s="15" t="s">
        <v>258</v>
      </c>
      <c r="C182" s="7"/>
      <c r="D182" s="13">
        <f>D183</f>
        <v>180624.88</v>
      </c>
      <c r="E182" s="13">
        <f t="shared" si="11"/>
        <v>-171628.75</v>
      </c>
      <c r="F182" s="13">
        <f>F183</f>
        <v>8996.130000000001</v>
      </c>
      <c r="G182" s="13">
        <f>G183</f>
        <v>180624.88</v>
      </c>
      <c r="H182" s="178">
        <f t="shared" si="14"/>
        <v>-171628.75</v>
      </c>
      <c r="I182" s="13">
        <f>I183</f>
        <v>8996.130000000001</v>
      </c>
      <c r="J182" s="168">
        <f>J183</f>
        <v>8996.130000000001</v>
      </c>
    </row>
    <row r="183" spans="1:11" ht="42.75" hidden="1" customHeight="1">
      <c r="A183" s="28" t="s">
        <v>256</v>
      </c>
      <c r="B183" s="15" t="s">
        <v>258</v>
      </c>
      <c r="C183" s="7"/>
      <c r="D183" s="17">
        <f>D184++D216</f>
        <v>180624.88</v>
      </c>
      <c r="E183" s="13">
        <f t="shared" si="11"/>
        <v>-171628.75</v>
      </c>
      <c r="F183" s="17">
        <f>F184</f>
        <v>8996.130000000001</v>
      </c>
      <c r="G183" s="17">
        <f>G184++G216</f>
        <v>180624.88</v>
      </c>
      <c r="H183" s="178">
        <f t="shared" si="14"/>
        <v>-171628.75</v>
      </c>
      <c r="I183" s="17">
        <f>I184</f>
        <v>8996.130000000001</v>
      </c>
      <c r="J183" s="169">
        <f>J184</f>
        <v>8996.130000000001</v>
      </c>
    </row>
    <row r="184" spans="1:11" ht="25.5" hidden="1" customHeight="1">
      <c r="A184" s="28" t="s">
        <v>256</v>
      </c>
      <c r="B184" s="15" t="s">
        <v>258</v>
      </c>
      <c r="C184" s="7"/>
      <c r="D184" s="17">
        <f>D185+D227+D232</f>
        <v>159436.01</v>
      </c>
      <c r="E184" s="13">
        <f t="shared" si="11"/>
        <v>-150439.88</v>
      </c>
      <c r="F184" s="17">
        <f>F185+F232</f>
        <v>8996.130000000001</v>
      </c>
      <c r="G184" s="17">
        <f>G185+G227+G232</f>
        <v>159436.01</v>
      </c>
      <c r="H184" s="178">
        <f t="shared" si="14"/>
        <v>-150439.88</v>
      </c>
      <c r="I184" s="17">
        <f>I185+I232</f>
        <v>8996.130000000001</v>
      </c>
      <c r="J184" s="169">
        <f>J185+J232</f>
        <v>8996.130000000001</v>
      </c>
    </row>
    <row r="185" spans="1:11" ht="25.5" hidden="1" customHeight="1">
      <c r="A185" s="28" t="s">
        <v>256</v>
      </c>
      <c r="B185" s="15" t="s">
        <v>258</v>
      </c>
      <c r="C185" s="16"/>
      <c r="D185" s="17">
        <f>D186</f>
        <v>159436.01</v>
      </c>
      <c r="E185" s="13">
        <f t="shared" si="11"/>
        <v>-150439.88</v>
      </c>
      <c r="F185" s="17">
        <f>F186</f>
        <v>8996.130000000001</v>
      </c>
      <c r="G185" s="17">
        <f>G186</f>
        <v>159436.01</v>
      </c>
      <c r="H185" s="178">
        <f t="shared" si="14"/>
        <v>-150439.88</v>
      </c>
      <c r="I185" s="17">
        <f>I186</f>
        <v>8996.130000000001</v>
      </c>
      <c r="J185" s="169">
        <f>J186</f>
        <v>8996.130000000001</v>
      </c>
      <c r="K185" s="129"/>
    </row>
    <row r="186" spans="1:11" ht="25.5" hidden="1" customHeight="1">
      <c r="A186" s="28" t="s">
        <v>256</v>
      </c>
      <c r="B186" s="15" t="s">
        <v>258</v>
      </c>
      <c r="C186" s="7"/>
      <c r="D186" s="17">
        <f>D191+D198</f>
        <v>159436.01</v>
      </c>
      <c r="E186" s="13">
        <f t="shared" ref="E186:E249" si="21">F186-D186</f>
        <v>-150439.88</v>
      </c>
      <c r="F186" s="17">
        <f>F187+F194+F198</f>
        <v>8996.130000000001</v>
      </c>
      <c r="G186" s="17">
        <f>G191+G198</f>
        <v>159436.01</v>
      </c>
      <c r="H186" s="178">
        <f t="shared" si="14"/>
        <v>-150439.88</v>
      </c>
      <c r="I186" s="17">
        <f>I187+I194+I198</f>
        <v>8996.130000000001</v>
      </c>
      <c r="J186" s="169">
        <f>J187+J194+J198</f>
        <v>8996.130000000001</v>
      </c>
      <c r="K186" s="129"/>
    </row>
    <row r="187" spans="1:11" ht="25.5" hidden="1" customHeight="1">
      <c r="A187" s="28" t="s">
        <v>256</v>
      </c>
      <c r="B187" s="15" t="s">
        <v>258</v>
      </c>
      <c r="C187" s="15"/>
      <c r="D187" s="17"/>
      <c r="E187" s="13">
        <f t="shared" si="21"/>
        <v>0</v>
      </c>
      <c r="F187" s="17">
        <f>F188</f>
        <v>0</v>
      </c>
      <c r="G187" s="17"/>
      <c r="H187" s="178">
        <f t="shared" si="14"/>
        <v>0</v>
      </c>
      <c r="I187" s="17">
        <f>I188</f>
        <v>0</v>
      </c>
      <c r="J187" s="169">
        <f>J188</f>
        <v>0</v>
      </c>
      <c r="K187" s="129"/>
    </row>
    <row r="188" spans="1:11" ht="25.5" hidden="1" customHeight="1">
      <c r="A188" s="28" t="s">
        <v>256</v>
      </c>
      <c r="B188" s="15" t="s">
        <v>258</v>
      </c>
      <c r="C188" s="15"/>
      <c r="D188" s="17"/>
      <c r="E188" s="13">
        <f t="shared" si="21"/>
        <v>0</v>
      </c>
      <c r="F188" s="17">
        <f>F189</f>
        <v>0</v>
      </c>
      <c r="G188" s="17"/>
      <c r="H188" s="178">
        <f t="shared" si="14"/>
        <v>0</v>
      </c>
      <c r="I188" s="17">
        <f>I189</f>
        <v>0</v>
      </c>
      <c r="J188" s="169">
        <f>J189</f>
        <v>0</v>
      </c>
      <c r="K188" s="129"/>
    </row>
    <row r="189" spans="1:11" ht="55.5" hidden="1" customHeight="1">
      <c r="A189" s="28" t="s">
        <v>256</v>
      </c>
      <c r="B189" s="15" t="s">
        <v>258</v>
      </c>
      <c r="C189" s="7"/>
      <c r="D189" s="17">
        <f>D190</f>
        <v>159436.01</v>
      </c>
      <c r="E189" s="13">
        <f t="shared" si="21"/>
        <v>-159436.01</v>
      </c>
      <c r="F189" s="17"/>
      <c r="G189" s="17">
        <f>G190</f>
        <v>159436.01</v>
      </c>
      <c r="H189" s="178">
        <f t="shared" si="14"/>
        <v>-159436.01</v>
      </c>
      <c r="I189" s="180">
        <v>0</v>
      </c>
      <c r="J189" s="180">
        <v>0</v>
      </c>
      <c r="K189" s="129"/>
    </row>
    <row r="190" spans="1:11" ht="25.5" hidden="1" customHeight="1">
      <c r="A190" s="28" t="s">
        <v>256</v>
      </c>
      <c r="B190" s="15" t="s">
        <v>258</v>
      </c>
      <c r="C190" s="15"/>
      <c r="D190" s="17">
        <f>D191</f>
        <v>159436.01</v>
      </c>
      <c r="E190" s="13">
        <f t="shared" si="21"/>
        <v>-159436.01</v>
      </c>
      <c r="F190" s="17"/>
      <c r="G190" s="17">
        <f>G191</f>
        <v>159436.01</v>
      </c>
      <c r="H190" s="178">
        <f t="shared" si="14"/>
        <v>-159436.01</v>
      </c>
      <c r="I190" s="180">
        <v>0</v>
      </c>
      <c r="J190" s="180">
        <v>0</v>
      </c>
    </row>
    <row r="191" spans="1:11" ht="33.75" customHeight="1">
      <c r="A191" s="28" t="s">
        <v>48</v>
      </c>
      <c r="B191" s="15" t="s">
        <v>49</v>
      </c>
      <c r="C191" s="15"/>
      <c r="D191" s="17">
        <f>D192+D213+D218+D221</f>
        <v>159436.01</v>
      </c>
      <c r="E191" s="13">
        <f t="shared" si="21"/>
        <v>29098.489999999991</v>
      </c>
      <c r="F191" s="17">
        <f>F192+F210+F213+F218+F221</f>
        <v>188534.5</v>
      </c>
      <c r="G191" s="17">
        <f>G192+G213+G218+G221</f>
        <v>159436.01</v>
      </c>
      <c r="H191" s="178">
        <f t="shared" si="14"/>
        <v>29098.489999999991</v>
      </c>
      <c r="I191" s="17">
        <f>I192+I210+I213+I218+I221</f>
        <v>188534.5</v>
      </c>
      <c r="J191" s="169">
        <f>J192+J210+J213+J218+J221</f>
        <v>188534.5</v>
      </c>
    </row>
    <row r="192" spans="1:11" ht="25.5" customHeight="1">
      <c r="A192" s="28" t="s">
        <v>50</v>
      </c>
      <c r="B192" s="15" t="s">
        <v>51</v>
      </c>
      <c r="C192" s="15"/>
      <c r="D192" s="17">
        <f>D201+D204+D208</f>
        <v>40680.199999999997</v>
      </c>
      <c r="E192" s="13">
        <f t="shared" si="21"/>
        <v>8503.0400000000081</v>
      </c>
      <c r="F192" s="17">
        <f>F193+F199</f>
        <v>49183.240000000005</v>
      </c>
      <c r="G192" s="17">
        <f>G201+G204+G208</f>
        <v>40680.199999999997</v>
      </c>
      <c r="H192" s="178">
        <f t="shared" si="14"/>
        <v>8503.0400000000009</v>
      </c>
      <c r="I192" s="17">
        <f>I193+I199</f>
        <v>49183.24</v>
      </c>
      <c r="J192" s="169">
        <f>J193+J199</f>
        <v>49183.24</v>
      </c>
    </row>
    <row r="193" spans="1:11" ht="34.5" customHeight="1">
      <c r="A193" s="28" t="s">
        <v>542</v>
      </c>
      <c r="B193" s="15" t="s">
        <v>492</v>
      </c>
      <c r="C193" s="15"/>
      <c r="D193" s="17"/>
      <c r="E193" s="13">
        <f t="shared" si="21"/>
        <v>25859.670000000006</v>
      </c>
      <c r="F193" s="17">
        <f>SUM(F194:F198)</f>
        <v>25859.670000000006</v>
      </c>
      <c r="G193" s="17"/>
      <c r="H193" s="178">
        <f t="shared" si="14"/>
        <v>25859.67</v>
      </c>
      <c r="I193" s="17">
        <f>SUM(I194:I198)</f>
        <v>25859.67</v>
      </c>
      <c r="J193" s="169">
        <f>SUM(J194:J198)</f>
        <v>25859.67</v>
      </c>
    </row>
    <row r="194" spans="1:11" ht="25.5" customHeight="1">
      <c r="A194" s="28" t="s">
        <v>10</v>
      </c>
      <c r="B194" s="15" t="s">
        <v>492</v>
      </c>
      <c r="C194" s="7" t="s">
        <v>11</v>
      </c>
      <c r="D194" s="17"/>
      <c r="E194" s="13">
        <f t="shared" si="21"/>
        <v>8493.7800000000007</v>
      </c>
      <c r="F194" s="17">
        <f>15993.12-7499.34</f>
        <v>8493.7800000000007</v>
      </c>
      <c r="G194" s="17"/>
      <c r="H194" s="178">
        <f t="shared" si="14"/>
        <v>8493.7800000000007</v>
      </c>
      <c r="I194" s="17">
        <f>15993.12-7499.34</f>
        <v>8493.7800000000007</v>
      </c>
      <c r="J194" s="169">
        <f>15993.12-7499.34</f>
        <v>8493.7800000000007</v>
      </c>
      <c r="K194" s="181">
        <f>I194-J194</f>
        <v>0</v>
      </c>
    </row>
    <row r="195" spans="1:11" ht="15.75" customHeight="1">
      <c r="A195" s="32" t="s">
        <v>15</v>
      </c>
      <c r="B195" s="15" t="s">
        <v>492</v>
      </c>
      <c r="C195" s="7" t="s">
        <v>16</v>
      </c>
      <c r="D195" s="17"/>
      <c r="E195" s="13">
        <f t="shared" si="21"/>
        <v>154.34</v>
      </c>
      <c r="F195" s="17">
        <v>154.34</v>
      </c>
      <c r="G195" s="17"/>
      <c r="H195" s="178">
        <f t="shared" si="14"/>
        <v>154.34</v>
      </c>
      <c r="I195" s="17">
        <v>154.34</v>
      </c>
      <c r="J195" s="169">
        <v>154.34</v>
      </c>
      <c r="K195" s="181">
        <f>I195-J195</f>
        <v>0</v>
      </c>
    </row>
    <row r="196" spans="1:11" ht="40.5" customHeight="1">
      <c r="A196" s="28" t="s">
        <v>12</v>
      </c>
      <c r="B196" s="15" t="s">
        <v>492</v>
      </c>
      <c r="C196" s="7" t="s">
        <v>13</v>
      </c>
      <c r="D196" s="17"/>
      <c r="E196" s="13">
        <f t="shared" si="21"/>
        <v>2565.12</v>
      </c>
      <c r="F196" s="17">
        <f>4829.92-2264.8</f>
        <v>2565.12</v>
      </c>
      <c r="G196" s="17"/>
      <c r="H196" s="178">
        <f t="shared" si="14"/>
        <v>2565.12</v>
      </c>
      <c r="I196" s="17">
        <f>4829.92-2264.8</f>
        <v>2565.12</v>
      </c>
      <c r="J196" s="169">
        <f>4829.92-2264.8</f>
        <v>2565.12</v>
      </c>
      <c r="K196" s="181">
        <f>I196-J196</f>
        <v>0</v>
      </c>
    </row>
    <row r="197" spans="1:11" ht="38.25" customHeight="1">
      <c r="A197" s="28" t="s">
        <v>19</v>
      </c>
      <c r="B197" s="15" t="s">
        <v>492</v>
      </c>
      <c r="C197" s="7" t="s">
        <v>20</v>
      </c>
      <c r="D197" s="17"/>
      <c r="E197" s="13">
        <f t="shared" si="21"/>
        <v>14144.080000000004</v>
      </c>
      <c r="F197" s="17">
        <f>71382.16-20823.04-502.35-23323.57-154.34-12434.78</f>
        <v>14144.080000000004</v>
      </c>
      <c r="G197" s="17"/>
      <c r="H197" s="178">
        <f t="shared" si="14"/>
        <v>14144.08</v>
      </c>
      <c r="I197" s="17">
        <f>71382.16-20977.38-502.35-23323.57-12434.78</f>
        <v>14144.08</v>
      </c>
      <c r="J197" s="169">
        <f>71382.16-20977.38-502.35-23323.57-12434.78</f>
        <v>14144.08</v>
      </c>
      <c r="K197" s="181">
        <f>I197-J197</f>
        <v>0</v>
      </c>
    </row>
    <row r="198" spans="1:11" ht="30" customHeight="1">
      <c r="A198" s="28" t="s">
        <v>30</v>
      </c>
      <c r="B198" s="15" t="s">
        <v>492</v>
      </c>
      <c r="C198" s="7" t="s">
        <v>31</v>
      </c>
      <c r="D198" s="17"/>
      <c r="E198" s="13">
        <f t="shared" si="21"/>
        <v>502.35</v>
      </c>
      <c r="F198" s="17">
        <v>502.35</v>
      </c>
      <c r="G198" s="17"/>
      <c r="H198" s="178">
        <f t="shared" si="14"/>
        <v>502.35</v>
      </c>
      <c r="I198" s="17">
        <v>502.35</v>
      </c>
      <c r="J198" s="169">
        <v>502.35</v>
      </c>
      <c r="K198" s="181">
        <f>I198-J198</f>
        <v>0</v>
      </c>
    </row>
    <row r="199" spans="1:11" ht="25.5" customHeight="1">
      <c r="A199" s="28" t="s">
        <v>266</v>
      </c>
      <c r="B199" s="15" t="s">
        <v>633</v>
      </c>
      <c r="C199" s="7"/>
      <c r="D199" s="17"/>
      <c r="E199" s="13">
        <f t="shared" si="21"/>
        <v>23323.57</v>
      </c>
      <c r="F199" s="17">
        <f>F200</f>
        <v>23323.57</v>
      </c>
      <c r="G199" s="17"/>
      <c r="H199" s="178">
        <f t="shared" si="14"/>
        <v>23323.57</v>
      </c>
      <c r="I199" s="17">
        <f>I200</f>
        <v>23323.57</v>
      </c>
      <c r="J199" s="169">
        <f>J200</f>
        <v>23323.57</v>
      </c>
    </row>
    <row r="200" spans="1:11" ht="32.25" customHeight="1">
      <c r="A200" s="28" t="s">
        <v>19</v>
      </c>
      <c r="B200" s="15" t="s">
        <v>633</v>
      </c>
      <c r="C200" s="7" t="s">
        <v>20</v>
      </c>
      <c r="D200" s="17"/>
      <c r="E200" s="13">
        <f t="shared" si="21"/>
        <v>23323.57</v>
      </c>
      <c r="F200" s="17">
        <v>23323.57</v>
      </c>
      <c r="G200" s="17"/>
      <c r="H200" s="178">
        <f t="shared" si="14"/>
        <v>23323.57</v>
      </c>
      <c r="I200" s="17">
        <v>23323.57</v>
      </c>
      <c r="J200" s="169">
        <v>23323.57</v>
      </c>
      <c r="K200" s="181">
        <f>I200-J200</f>
        <v>0</v>
      </c>
    </row>
    <row r="201" spans="1:11" ht="25.5" customHeight="1">
      <c r="A201" s="28" t="s">
        <v>52</v>
      </c>
      <c r="B201" s="15" t="s">
        <v>53</v>
      </c>
      <c r="C201" s="15"/>
      <c r="D201" s="17">
        <f>SUM(D202:D203)</f>
        <v>8383.6</v>
      </c>
      <c r="E201" s="13">
        <f t="shared" si="21"/>
        <v>-8383.6</v>
      </c>
      <c r="F201" s="17"/>
      <c r="G201" s="17">
        <f>SUM(G202:G203)</f>
        <v>8383.6</v>
      </c>
      <c r="H201" s="178">
        <f t="shared" si="14"/>
        <v>-8383.6</v>
      </c>
      <c r="I201" s="180">
        <v>0</v>
      </c>
      <c r="J201" s="180">
        <v>0</v>
      </c>
    </row>
    <row r="202" spans="1:11" ht="16.5" customHeight="1">
      <c r="A202" s="28" t="s">
        <v>10</v>
      </c>
      <c r="B202" s="15" t="s">
        <v>53</v>
      </c>
      <c r="C202" s="15" t="s">
        <v>11</v>
      </c>
      <c r="D202" s="17">
        <f>15051.2-8433</f>
        <v>6618.2000000000007</v>
      </c>
      <c r="E202" s="13">
        <f t="shared" si="21"/>
        <v>-6618.2000000000007</v>
      </c>
      <c r="F202" s="17"/>
      <c r="G202" s="17">
        <f>15051.2-8433</f>
        <v>6618.2000000000007</v>
      </c>
      <c r="H202" s="178">
        <f t="shared" ref="H202:H265" si="22">I202-G202</f>
        <v>-6618.2000000000007</v>
      </c>
      <c r="I202" s="180">
        <v>0</v>
      </c>
      <c r="J202" s="180">
        <v>0</v>
      </c>
      <c r="K202" s="181">
        <f>I202-J202</f>
        <v>0</v>
      </c>
    </row>
    <row r="203" spans="1:11" ht="39.75" customHeight="1">
      <c r="A203" s="28" t="s">
        <v>12</v>
      </c>
      <c r="B203" s="15" t="s">
        <v>53</v>
      </c>
      <c r="C203" s="15" t="s">
        <v>13</v>
      </c>
      <c r="D203" s="17">
        <f>4312.2-2546.8</f>
        <v>1765.3999999999996</v>
      </c>
      <c r="E203" s="13">
        <f t="shared" si="21"/>
        <v>-1765.3999999999996</v>
      </c>
      <c r="F203" s="17"/>
      <c r="G203" s="17">
        <f>4312.2-2546.8</f>
        <v>1765.3999999999996</v>
      </c>
      <c r="H203" s="178">
        <f t="shared" si="22"/>
        <v>-1765.3999999999996</v>
      </c>
      <c r="I203" s="180">
        <v>0</v>
      </c>
      <c r="J203" s="180">
        <v>0</v>
      </c>
      <c r="K203" s="181">
        <f>I203-J203</f>
        <v>0</v>
      </c>
    </row>
    <row r="204" spans="1:11" ht="38.25" customHeight="1">
      <c r="A204" s="28" t="s">
        <v>54</v>
      </c>
      <c r="B204" s="15" t="s">
        <v>55</v>
      </c>
      <c r="C204" s="15"/>
      <c r="D204" s="17">
        <f>SUBTOTAL(9,D205:D207)</f>
        <v>6748.199999999998</v>
      </c>
      <c r="E204" s="13">
        <f t="shared" si="21"/>
        <v>-6748.199999999998</v>
      </c>
      <c r="F204" s="17"/>
      <c r="G204" s="17">
        <f>SUBTOTAL(9,G205:G207)</f>
        <v>6748.199999999998</v>
      </c>
      <c r="H204" s="178">
        <f t="shared" si="22"/>
        <v>-6748.199999999998</v>
      </c>
      <c r="I204" s="180">
        <v>0</v>
      </c>
      <c r="J204" s="180">
        <v>0</v>
      </c>
    </row>
    <row r="205" spans="1:11" ht="34.5" customHeight="1">
      <c r="A205" s="32" t="s">
        <v>15</v>
      </c>
      <c r="B205" s="15" t="s">
        <v>55</v>
      </c>
      <c r="C205" s="15" t="s">
        <v>16</v>
      </c>
      <c r="D205" s="17"/>
      <c r="E205" s="13">
        <f t="shared" si="21"/>
        <v>0</v>
      </c>
      <c r="F205" s="17"/>
      <c r="G205" s="17"/>
      <c r="H205" s="178">
        <f t="shared" si="22"/>
        <v>0</v>
      </c>
      <c r="I205" s="180">
        <v>0</v>
      </c>
      <c r="J205" s="180">
        <v>0</v>
      </c>
      <c r="K205" s="181">
        <f>I205-J205</f>
        <v>0</v>
      </c>
    </row>
    <row r="206" spans="1:11" ht="38.25" customHeight="1">
      <c r="A206" s="28" t="s">
        <v>19</v>
      </c>
      <c r="B206" s="15" t="s">
        <v>55</v>
      </c>
      <c r="C206" s="15" t="s">
        <v>20</v>
      </c>
      <c r="D206" s="17">
        <f>43.7+4182.4+367.6+39460.1+162+661.8-13267.3-25548.4</f>
        <v>6061.8999999999978</v>
      </c>
      <c r="E206" s="13">
        <f t="shared" si="21"/>
        <v>-6061.8999999999978</v>
      </c>
      <c r="F206" s="17"/>
      <c r="G206" s="17">
        <f>43.7+4182.4+367.6+39460.1+162+661.8-13267.3-25548.4</f>
        <v>6061.8999999999978</v>
      </c>
      <c r="H206" s="178">
        <f t="shared" si="22"/>
        <v>-6061.8999999999978</v>
      </c>
      <c r="I206" s="180">
        <v>0</v>
      </c>
      <c r="J206" s="180">
        <v>0</v>
      </c>
      <c r="K206" s="181">
        <f>I206-J206</f>
        <v>0</v>
      </c>
    </row>
    <row r="207" spans="1:11" ht="16.5" customHeight="1">
      <c r="A207" s="28" t="s">
        <v>30</v>
      </c>
      <c r="B207" s="15" t="s">
        <v>55</v>
      </c>
      <c r="C207" s="15" t="s">
        <v>31</v>
      </c>
      <c r="D207" s="17">
        <v>686.3</v>
      </c>
      <c r="E207" s="13">
        <f t="shared" si="21"/>
        <v>-686.3</v>
      </c>
      <c r="F207" s="17"/>
      <c r="G207" s="17">
        <v>686.3</v>
      </c>
      <c r="H207" s="178">
        <f t="shared" si="22"/>
        <v>-686.3</v>
      </c>
      <c r="I207" s="180">
        <v>0</v>
      </c>
      <c r="J207" s="180">
        <v>0</v>
      </c>
      <c r="K207" s="181">
        <f>I207-J207</f>
        <v>0</v>
      </c>
    </row>
    <row r="208" spans="1:11" ht="39" customHeight="1">
      <c r="A208" s="28" t="s">
        <v>266</v>
      </c>
      <c r="B208" s="15" t="s">
        <v>267</v>
      </c>
      <c r="C208" s="15"/>
      <c r="D208" s="68">
        <f>D209</f>
        <v>25548.400000000001</v>
      </c>
      <c r="E208" s="13">
        <f t="shared" si="21"/>
        <v>-25548.400000000001</v>
      </c>
      <c r="F208" s="68"/>
      <c r="G208" s="68">
        <f>G209</f>
        <v>25548.400000000001</v>
      </c>
      <c r="H208" s="178">
        <f t="shared" si="22"/>
        <v>-25548.400000000001</v>
      </c>
      <c r="I208" s="180">
        <v>0</v>
      </c>
      <c r="J208" s="180">
        <v>0</v>
      </c>
    </row>
    <row r="209" spans="1:14" ht="39" customHeight="1">
      <c r="A209" s="28" t="s">
        <v>19</v>
      </c>
      <c r="B209" s="15" t="s">
        <v>267</v>
      </c>
      <c r="C209" s="15" t="s">
        <v>20</v>
      </c>
      <c r="D209" s="17">
        <v>25548.400000000001</v>
      </c>
      <c r="E209" s="13">
        <f t="shared" si="21"/>
        <v>-25548.400000000001</v>
      </c>
      <c r="F209" s="17"/>
      <c r="G209" s="17">
        <v>25548.400000000001</v>
      </c>
      <c r="H209" s="178">
        <f t="shared" si="22"/>
        <v>-25548.400000000001</v>
      </c>
      <c r="I209" s="180">
        <v>0</v>
      </c>
      <c r="J209" s="180">
        <v>0</v>
      </c>
      <c r="K209" s="181">
        <f>I209-J209</f>
        <v>0</v>
      </c>
    </row>
    <row r="210" spans="1:14" ht="25.5" customHeight="1">
      <c r="A210" s="28" t="s">
        <v>576</v>
      </c>
      <c r="B210" s="15" t="s">
        <v>574</v>
      </c>
      <c r="C210" s="15"/>
      <c r="D210" s="17"/>
      <c r="E210" s="13">
        <f t="shared" si="21"/>
        <v>12434.78</v>
      </c>
      <c r="F210" s="17">
        <f>F211</f>
        <v>12434.78</v>
      </c>
      <c r="G210" s="17"/>
      <c r="H210" s="178">
        <f t="shared" si="22"/>
        <v>12434.78</v>
      </c>
      <c r="I210" s="17">
        <f>I211</f>
        <v>12434.78</v>
      </c>
      <c r="J210" s="169">
        <f>J211</f>
        <v>12434.78</v>
      </c>
    </row>
    <row r="211" spans="1:14" ht="25.5" customHeight="1">
      <c r="A211" s="28" t="s">
        <v>495</v>
      </c>
      <c r="B211" s="15" t="s">
        <v>575</v>
      </c>
      <c r="C211" s="15"/>
      <c r="D211" s="17"/>
      <c r="E211" s="13">
        <f t="shared" si="21"/>
        <v>12434.78</v>
      </c>
      <c r="F211" s="17">
        <f>F212</f>
        <v>12434.78</v>
      </c>
      <c r="G211" s="17"/>
      <c r="H211" s="178">
        <f t="shared" si="22"/>
        <v>12434.78</v>
      </c>
      <c r="I211" s="17">
        <f>I212</f>
        <v>12434.78</v>
      </c>
      <c r="J211" s="169">
        <f>J212</f>
        <v>12434.78</v>
      </c>
    </row>
    <row r="212" spans="1:14" ht="25.5" customHeight="1">
      <c r="A212" s="28" t="s">
        <v>19</v>
      </c>
      <c r="B212" s="15" t="s">
        <v>575</v>
      </c>
      <c r="C212" s="15" t="s">
        <v>20</v>
      </c>
      <c r="D212" s="17"/>
      <c r="E212" s="13">
        <f t="shared" si="21"/>
        <v>12434.78</v>
      </c>
      <c r="F212" s="17">
        <v>12434.78</v>
      </c>
      <c r="G212" s="17"/>
      <c r="H212" s="178">
        <f t="shared" si="22"/>
        <v>12434.78</v>
      </c>
      <c r="I212" s="17">
        <v>12434.78</v>
      </c>
      <c r="J212" s="169">
        <v>12434.78</v>
      </c>
      <c r="K212" s="181">
        <f>I212-J212</f>
        <v>0</v>
      </c>
    </row>
    <row r="213" spans="1:14" ht="111.75" customHeight="1">
      <c r="A213" s="28" t="s">
        <v>56</v>
      </c>
      <c r="B213" s="15" t="s">
        <v>57</v>
      </c>
      <c r="C213" s="15"/>
      <c r="D213" s="17">
        <f>SUM(D214:D217)</f>
        <v>91953.609999999986</v>
      </c>
      <c r="E213" s="13">
        <f t="shared" si="21"/>
        <v>7964.4700000000157</v>
      </c>
      <c r="F213" s="17">
        <f>SUM(F214:F217)</f>
        <v>99918.080000000002</v>
      </c>
      <c r="G213" s="17">
        <f>SUM(G214:G217)</f>
        <v>91953.609999999986</v>
      </c>
      <c r="H213" s="178">
        <f t="shared" si="22"/>
        <v>7964.4700000000157</v>
      </c>
      <c r="I213" s="17">
        <f>SUM(I214:I217)</f>
        <v>99918.080000000002</v>
      </c>
      <c r="J213" s="169">
        <f>SUM(J214:J217)</f>
        <v>99918.080000000002</v>
      </c>
    </row>
    <row r="214" spans="1:14" ht="19.5" customHeight="1">
      <c r="A214" s="28" t="s">
        <v>10</v>
      </c>
      <c r="B214" s="15" t="s">
        <v>57</v>
      </c>
      <c r="C214" s="15" t="s">
        <v>11</v>
      </c>
      <c r="D214" s="17">
        <v>70161.84</v>
      </c>
      <c r="E214" s="13">
        <f t="shared" si="21"/>
        <v>5129.4499999999971</v>
      </c>
      <c r="F214" s="17">
        <v>75291.289999999994</v>
      </c>
      <c r="G214" s="17">
        <v>70161.84</v>
      </c>
      <c r="H214" s="178">
        <f t="shared" si="22"/>
        <v>5129.4499999999971</v>
      </c>
      <c r="I214" s="17">
        <v>75291.289999999994</v>
      </c>
      <c r="J214" s="169">
        <v>75291.289999999994</v>
      </c>
      <c r="K214" s="132" t="s">
        <v>523</v>
      </c>
    </row>
    <row r="215" spans="1:14" ht="25.5" customHeight="1">
      <c r="A215" s="32" t="s">
        <v>15</v>
      </c>
      <c r="B215" s="15" t="s">
        <v>57</v>
      </c>
      <c r="C215" s="15" t="s">
        <v>16</v>
      </c>
      <c r="D215" s="17">
        <v>56</v>
      </c>
      <c r="E215" s="13">
        <f t="shared" si="21"/>
        <v>125.25</v>
      </c>
      <c r="F215" s="17">
        <v>181.25</v>
      </c>
      <c r="G215" s="17">
        <v>56</v>
      </c>
      <c r="H215" s="178">
        <f t="shared" si="22"/>
        <v>125.25</v>
      </c>
      <c r="I215" s="17">
        <v>181.25</v>
      </c>
      <c r="J215" s="169">
        <v>181.25</v>
      </c>
      <c r="K215" s="132" t="s">
        <v>523</v>
      </c>
    </row>
    <row r="216" spans="1:14" ht="25.5" customHeight="1">
      <c r="A216" s="28" t="s">
        <v>12</v>
      </c>
      <c r="B216" s="15" t="s">
        <v>57</v>
      </c>
      <c r="C216" s="15" t="s">
        <v>13</v>
      </c>
      <c r="D216" s="17">
        <v>21188.87</v>
      </c>
      <c r="E216" s="13">
        <f t="shared" si="21"/>
        <v>1549.1000000000022</v>
      </c>
      <c r="F216" s="17">
        <v>22737.97</v>
      </c>
      <c r="G216" s="17">
        <v>21188.87</v>
      </c>
      <c r="H216" s="178">
        <f t="shared" si="22"/>
        <v>1549.1000000000022</v>
      </c>
      <c r="I216" s="17">
        <v>22737.97</v>
      </c>
      <c r="J216" s="169">
        <v>22737.97</v>
      </c>
      <c r="K216" s="132" t="s">
        <v>523</v>
      </c>
    </row>
    <row r="217" spans="1:14" ht="25.5" customHeight="1">
      <c r="A217" s="28" t="s">
        <v>19</v>
      </c>
      <c r="B217" s="15" t="s">
        <v>57</v>
      </c>
      <c r="C217" s="15" t="s">
        <v>20</v>
      </c>
      <c r="D217" s="17">
        <v>546.9</v>
      </c>
      <c r="E217" s="13">
        <f t="shared" si="21"/>
        <v>1160.67</v>
      </c>
      <c r="F217" s="17">
        <v>1707.57</v>
      </c>
      <c r="G217" s="17">
        <v>546.9</v>
      </c>
      <c r="H217" s="178">
        <f t="shared" si="22"/>
        <v>1160.67</v>
      </c>
      <c r="I217" s="17">
        <v>1707.57</v>
      </c>
      <c r="J217" s="169">
        <v>1707.57</v>
      </c>
      <c r="K217" s="132" t="s">
        <v>523</v>
      </c>
    </row>
    <row r="218" spans="1:14" ht="25.5" customHeight="1">
      <c r="A218" s="28" t="s">
        <v>59</v>
      </c>
      <c r="B218" s="15" t="s">
        <v>60</v>
      </c>
      <c r="C218" s="15"/>
      <c r="D218" s="17">
        <f>D219</f>
        <v>26610.2</v>
      </c>
      <c r="E218" s="13">
        <f t="shared" si="21"/>
        <v>228.20000000000073</v>
      </c>
      <c r="F218" s="17">
        <f>F219</f>
        <v>26838.400000000001</v>
      </c>
      <c r="G218" s="17">
        <f>G219</f>
        <v>26610.2</v>
      </c>
      <c r="H218" s="178">
        <f t="shared" si="22"/>
        <v>228.20000000000073</v>
      </c>
      <c r="I218" s="17">
        <f>I219</f>
        <v>26838.400000000001</v>
      </c>
      <c r="J218" s="169">
        <f>J219</f>
        <v>26838.400000000001</v>
      </c>
    </row>
    <row r="219" spans="1:14" ht="38.25" customHeight="1">
      <c r="A219" s="28" t="s">
        <v>409</v>
      </c>
      <c r="B219" s="15" t="s">
        <v>60</v>
      </c>
      <c r="C219" s="4" t="s">
        <v>408</v>
      </c>
      <c r="D219" s="17">
        <v>26610.2</v>
      </c>
      <c r="E219" s="13">
        <f t="shared" si="21"/>
        <v>228.20000000000073</v>
      </c>
      <c r="F219" s="17">
        <v>26838.400000000001</v>
      </c>
      <c r="G219" s="17">
        <v>26610.2</v>
      </c>
      <c r="H219" s="178">
        <f t="shared" si="22"/>
        <v>228.20000000000073</v>
      </c>
      <c r="I219" s="17">
        <v>26838.400000000001</v>
      </c>
      <c r="J219" s="169">
        <v>26838.400000000001</v>
      </c>
      <c r="K219" s="129" t="s">
        <v>523</v>
      </c>
    </row>
    <row r="220" spans="1:14" ht="27.75" customHeight="1">
      <c r="A220" s="28" t="s">
        <v>23</v>
      </c>
      <c r="B220" s="15" t="s">
        <v>58</v>
      </c>
      <c r="C220" s="15"/>
      <c r="D220" s="17">
        <f>D221+D222</f>
        <v>250</v>
      </c>
      <c r="E220" s="13">
        <f t="shared" si="21"/>
        <v>-42</v>
      </c>
      <c r="F220" s="17">
        <f>SUM(F221:F222)</f>
        <v>208</v>
      </c>
      <c r="G220" s="17">
        <f>G221+G222</f>
        <v>250</v>
      </c>
      <c r="H220" s="178">
        <f t="shared" si="22"/>
        <v>-42</v>
      </c>
      <c r="I220" s="17">
        <f>SUM(I221:I222)</f>
        <v>208</v>
      </c>
      <c r="J220" s="169">
        <f>SUM(J221:J222)</f>
        <v>208</v>
      </c>
    </row>
    <row r="221" spans="1:14" ht="29.25" customHeight="1">
      <c r="A221" s="28" t="s">
        <v>10</v>
      </c>
      <c r="B221" s="15" t="s">
        <v>58</v>
      </c>
      <c r="C221" s="15" t="s">
        <v>11</v>
      </c>
      <c r="D221" s="17">
        <v>192</v>
      </c>
      <c r="E221" s="13">
        <f t="shared" si="21"/>
        <v>-32</v>
      </c>
      <c r="F221" s="17">
        <v>160</v>
      </c>
      <c r="G221" s="17">
        <v>192</v>
      </c>
      <c r="H221" s="178">
        <f t="shared" si="22"/>
        <v>-32</v>
      </c>
      <c r="I221" s="17">
        <v>160</v>
      </c>
      <c r="J221" s="169">
        <v>160</v>
      </c>
      <c r="K221" s="129" t="s">
        <v>524</v>
      </c>
      <c r="L221" s="1">
        <f>2020.6/99</f>
        <v>20.410101010101009</v>
      </c>
      <c r="M221" s="1">
        <f>2020.6/99</f>
        <v>20.410101010101009</v>
      </c>
      <c r="N221" s="1">
        <f>2020.6/99</f>
        <v>20.410101010101009</v>
      </c>
    </row>
    <row r="222" spans="1:14" ht="25.5" customHeight="1">
      <c r="A222" s="28" t="s">
        <v>25</v>
      </c>
      <c r="B222" s="15" t="s">
        <v>58</v>
      </c>
      <c r="C222" s="15" t="s">
        <v>13</v>
      </c>
      <c r="D222" s="17">
        <v>58</v>
      </c>
      <c r="E222" s="13">
        <f t="shared" si="21"/>
        <v>-10</v>
      </c>
      <c r="F222" s="17">
        <v>48</v>
      </c>
      <c r="G222" s="17">
        <v>58</v>
      </c>
      <c r="H222" s="178">
        <f t="shared" si="22"/>
        <v>-10</v>
      </c>
      <c r="I222" s="17">
        <v>48</v>
      </c>
      <c r="J222" s="169">
        <v>48</v>
      </c>
      <c r="K222" s="129" t="s">
        <v>524</v>
      </c>
    </row>
    <row r="223" spans="1:14" ht="15" customHeight="1">
      <c r="A223" s="28" t="s">
        <v>67</v>
      </c>
      <c r="B223" s="15" t="s">
        <v>68</v>
      </c>
      <c r="C223" s="15"/>
      <c r="D223" s="17">
        <f>D224+D255+D260</f>
        <v>413156.28</v>
      </c>
      <c r="E223" s="13">
        <f t="shared" si="21"/>
        <v>82978.839999999967</v>
      </c>
      <c r="F223" s="17">
        <f>F224+F251+F255+F260+F263</f>
        <v>496135.12</v>
      </c>
      <c r="G223" s="17">
        <f>G224+G255+G260</f>
        <v>280753.23</v>
      </c>
      <c r="H223" s="178">
        <f t="shared" si="22"/>
        <v>125919.55999999994</v>
      </c>
      <c r="I223" s="17">
        <f>I224+I251+I255+I260+I263</f>
        <v>406672.78999999992</v>
      </c>
      <c r="J223" s="169">
        <f>J224+J251+J255+J260+J263</f>
        <v>385067.83999999997</v>
      </c>
    </row>
    <row r="224" spans="1:14" ht="15" customHeight="1">
      <c r="A224" s="28" t="s">
        <v>69</v>
      </c>
      <c r="B224" s="15" t="s">
        <v>70</v>
      </c>
      <c r="C224" s="15"/>
      <c r="D224" s="17">
        <f>D237+D240+D249+D247</f>
        <v>65485.14</v>
      </c>
      <c r="E224" s="13">
        <f t="shared" si="21"/>
        <v>78147.719999999987</v>
      </c>
      <c r="F224" s="17">
        <f>F225+F233+F235</f>
        <v>143632.85999999999</v>
      </c>
      <c r="G224" s="17">
        <f>G237+G240+G249+G247</f>
        <v>60193.19</v>
      </c>
      <c r="H224" s="178">
        <f t="shared" si="22"/>
        <v>52432.339999999967</v>
      </c>
      <c r="I224" s="17">
        <f>I225+I233+I235</f>
        <v>112625.52999999997</v>
      </c>
      <c r="J224" s="169">
        <f>J225+J233+J235</f>
        <v>105333.38</v>
      </c>
    </row>
    <row r="225" spans="1:11" ht="15" customHeight="1">
      <c r="A225" s="161" t="s">
        <v>544</v>
      </c>
      <c r="B225" s="15" t="s">
        <v>543</v>
      </c>
      <c r="C225" s="15"/>
      <c r="D225" s="17"/>
      <c r="E225" s="13">
        <f t="shared" si="21"/>
        <v>68881.699999999968</v>
      </c>
      <c r="F225" s="17">
        <f>SUM(F226:F232)</f>
        <v>68881.699999999968</v>
      </c>
      <c r="G225" s="17"/>
      <c r="H225" s="178">
        <f t="shared" si="22"/>
        <v>59115.47999999996</v>
      </c>
      <c r="I225" s="17">
        <f>SUM(I226:I232)</f>
        <v>59115.47999999996</v>
      </c>
      <c r="J225" s="169">
        <f>SUM(J226:J232)</f>
        <v>51823.33</v>
      </c>
    </row>
    <row r="226" spans="1:11" ht="28.5" customHeight="1">
      <c r="A226" s="161" t="s">
        <v>489</v>
      </c>
      <c r="B226" s="15" t="s">
        <v>543</v>
      </c>
      <c r="C226" s="15" t="s">
        <v>11</v>
      </c>
      <c r="D226" s="17"/>
      <c r="E226" s="13">
        <f t="shared" si="21"/>
        <v>29961.839999999997</v>
      </c>
      <c r="F226" s="17">
        <f>56416.81-26454.97</f>
        <v>29961.839999999997</v>
      </c>
      <c r="G226" s="17"/>
      <c r="H226" s="178">
        <f t="shared" si="22"/>
        <v>29961.839999999997</v>
      </c>
      <c r="I226" s="17">
        <f>56416.81-26454.97</f>
        <v>29961.839999999997</v>
      </c>
      <c r="J226" s="17">
        <f>56416.81-26454.97</f>
        <v>29961.839999999997</v>
      </c>
      <c r="K226" s="181">
        <f t="shared" ref="K226:K232" si="23">I226-J226</f>
        <v>0</v>
      </c>
    </row>
    <row r="227" spans="1:11" ht="26.25" customHeight="1">
      <c r="A227" s="32" t="s">
        <v>15</v>
      </c>
      <c r="B227" s="15" t="s">
        <v>543</v>
      </c>
      <c r="C227" s="15" t="s">
        <v>16</v>
      </c>
      <c r="D227" s="17"/>
      <c r="E227" s="13">
        <f t="shared" si="21"/>
        <v>490</v>
      </c>
      <c r="F227" s="17">
        <v>490</v>
      </c>
      <c r="G227" s="17"/>
      <c r="H227" s="178">
        <f t="shared" si="22"/>
        <v>490</v>
      </c>
      <c r="I227" s="17">
        <v>490</v>
      </c>
      <c r="J227" s="169">
        <v>490</v>
      </c>
      <c r="K227" s="181">
        <f t="shared" si="23"/>
        <v>0</v>
      </c>
    </row>
    <row r="228" spans="1:11" ht="19.5" customHeight="1">
      <c r="A228" s="28" t="s">
        <v>12</v>
      </c>
      <c r="B228" s="15" t="s">
        <v>543</v>
      </c>
      <c r="C228" s="15" t="s">
        <v>13</v>
      </c>
      <c r="D228" s="17"/>
      <c r="E228" s="13">
        <f t="shared" si="21"/>
        <v>9048.4800000000014</v>
      </c>
      <c r="F228" s="17">
        <f>17037.88-7989.4</f>
        <v>9048.4800000000014</v>
      </c>
      <c r="G228" s="17"/>
      <c r="H228" s="178">
        <f t="shared" si="22"/>
        <v>9048.4800000000014</v>
      </c>
      <c r="I228" s="17">
        <f>17037.88-7989.4</f>
        <v>9048.4800000000014</v>
      </c>
      <c r="J228" s="17">
        <f>17037.88-7989.4</f>
        <v>9048.4800000000014</v>
      </c>
      <c r="K228" s="181">
        <f t="shared" si="23"/>
        <v>0</v>
      </c>
    </row>
    <row r="229" spans="1:11" ht="25.5" customHeight="1">
      <c r="A229" s="28" t="s">
        <v>19</v>
      </c>
      <c r="B229" s="15" t="s">
        <v>543</v>
      </c>
      <c r="C229" s="15" t="s">
        <v>20</v>
      </c>
      <c r="D229" s="17"/>
      <c r="E229" s="13">
        <f t="shared" si="21"/>
        <v>19723.01999999996</v>
      </c>
      <c r="F229" s="17">
        <f>188111.08-29961.84-490-9048.48-9603.04-55.32-53510.05-21241.11-35249.87-8756.55-471.8</f>
        <v>19723.01999999996</v>
      </c>
      <c r="G229" s="17"/>
      <c r="H229" s="178">
        <f t="shared" si="22"/>
        <v>9956.7999999999593</v>
      </c>
      <c r="I229" s="17">
        <f>188111.08-29961.84-490-9048.48-9603.04-55.32-53510.05-21241.11-35249.87-8756.55-471.8-1763.08-10551.71-50+2623.57-25</f>
        <v>9956.7999999999593</v>
      </c>
      <c r="J229" s="17">
        <v>2664.65</v>
      </c>
      <c r="K229" s="181">
        <f t="shared" si="23"/>
        <v>7292.1499999999596</v>
      </c>
    </row>
    <row r="230" spans="1:11" ht="17.25" customHeight="1">
      <c r="A230" s="28" t="s">
        <v>30</v>
      </c>
      <c r="B230" s="15" t="s">
        <v>543</v>
      </c>
      <c r="C230" s="15" t="s">
        <v>31</v>
      </c>
      <c r="D230" s="17"/>
      <c r="E230" s="13">
        <f t="shared" si="21"/>
        <v>9603.0400000000009</v>
      </c>
      <c r="F230" s="17">
        <f>9658.36-55.32</f>
        <v>9603.0400000000009</v>
      </c>
      <c r="G230" s="17"/>
      <c r="H230" s="178">
        <f t="shared" si="22"/>
        <v>9603.0400000000009</v>
      </c>
      <c r="I230" s="17">
        <f>9658.36-55.32</f>
        <v>9603.0400000000009</v>
      </c>
      <c r="J230" s="169">
        <f>9658.36-55.32</f>
        <v>9603.0400000000009</v>
      </c>
      <c r="K230" s="181">
        <f t="shared" si="23"/>
        <v>0</v>
      </c>
    </row>
    <row r="231" spans="1:11" ht="25.5" customHeight="1">
      <c r="A231" s="28" t="s">
        <v>32</v>
      </c>
      <c r="B231" s="15" t="s">
        <v>543</v>
      </c>
      <c r="C231" s="15" t="s">
        <v>33</v>
      </c>
      <c r="D231" s="17"/>
      <c r="E231" s="13">
        <f t="shared" si="21"/>
        <v>55.32</v>
      </c>
      <c r="F231" s="17">
        <v>55.32</v>
      </c>
      <c r="G231" s="17"/>
      <c r="H231" s="178">
        <f t="shared" si="22"/>
        <v>55.32</v>
      </c>
      <c r="I231" s="17">
        <v>55.32</v>
      </c>
      <c r="J231" s="169">
        <v>55.32</v>
      </c>
      <c r="K231" s="181">
        <f t="shared" si="23"/>
        <v>0</v>
      </c>
    </row>
    <row r="232" spans="1:11" ht="25.5" customHeight="1">
      <c r="A232" s="28" t="s">
        <v>21</v>
      </c>
      <c r="B232" s="15" t="s">
        <v>543</v>
      </c>
      <c r="C232" s="15" t="s">
        <v>22</v>
      </c>
      <c r="D232" s="17"/>
      <c r="E232" s="13">
        <f t="shared" si="21"/>
        <v>0</v>
      </c>
      <c r="F232" s="17"/>
      <c r="G232" s="17"/>
      <c r="H232" s="178">
        <f t="shared" si="22"/>
        <v>0</v>
      </c>
      <c r="I232" s="180">
        <v>0</v>
      </c>
      <c r="J232" s="180">
        <v>0</v>
      </c>
      <c r="K232" s="181">
        <f t="shared" si="23"/>
        <v>0</v>
      </c>
    </row>
    <row r="233" spans="1:11" ht="38.25" customHeight="1">
      <c r="A233" s="14" t="s">
        <v>268</v>
      </c>
      <c r="B233" s="15" t="s">
        <v>577</v>
      </c>
      <c r="C233" s="7"/>
      <c r="D233" s="17"/>
      <c r="E233" s="13">
        <f t="shared" si="21"/>
        <v>53510.05</v>
      </c>
      <c r="F233" s="17">
        <f>SUM(F234)</f>
        <v>53510.05</v>
      </c>
      <c r="G233" s="17"/>
      <c r="H233" s="178">
        <f t="shared" si="22"/>
        <v>53510.05</v>
      </c>
      <c r="I233" s="17">
        <f>SUM(I234)</f>
        <v>53510.05</v>
      </c>
      <c r="J233" s="169">
        <f>SUM(J234)</f>
        <v>53510.05</v>
      </c>
    </row>
    <row r="234" spans="1:11" ht="33.75" customHeight="1">
      <c r="A234" s="28" t="s">
        <v>19</v>
      </c>
      <c r="B234" s="15" t="s">
        <v>577</v>
      </c>
      <c r="C234" s="15" t="s">
        <v>20</v>
      </c>
      <c r="D234" s="17"/>
      <c r="E234" s="13">
        <f t="shared" si="21"/>
        <v>53510.05</v>
      </c>
      <c r="F234" s="17">
        <f>49941.8+3568.25</f>
        <v>53510.05</v>
      </c>
      <c r="G234" s="17"/>
      <c r="H234" s="178">
        <f t="shared" si="22"/>
        <v>53510.05</v>
      </c>
      <c r="I234" s="17">
        <f>49941.8+3568.25</f>
        <v>53510.05</v>
      </c>
      <c r="J234" s="169">
        <f>49941.8+3568.25</f>
        <v>53510.05</v>
      </c>
      <c r="K234" s="181">
        <f>I234-J234</f>
        <v>0</v>
      </c>
    </row>
    <row r="235" spans="1:11" ht="40.5" customHeight="1">
      <c r="A235" s="28" t="s">
        <v>307</v>
      </c>
      <c r="B235" s="15" t="s">
        <v>578</v>
      </c>
      <c r="C235" s="7"/>
      <c r="D235" s="17"/>
      <c r="E235" s="13">
        <f t="shared" si="21"/>
        <v>21241.11</v>
      </c>
      <c r="F235" s="17">
        <f>F236</f>
        <v>21241.11</v>
      </c>
      <c r="G235" s="17"/>
      <c r="H235" s="178">
        <f t="shared" si="22"/>
        <v>0</v>
      </c>
      <c r="I235" s="17">
        <f>I236</f>
        <v>0</v>
      </c>
      <c r="J235" s="169">
        <f>J236</f>
        <v>0</v>
      </c>
    </row>
    <row r="236" spans="1:11" ht="33" customHeight="1">
      <c r="A236" s="28" t="s">
        <v>19</v>
      </c>
      <c r="B236" s="15" t="s">
        <v>578</v>
      </c>
      <c r="C236" s="15" t="s">
        <v>20</v>
      </c>
      <c r="D236" s="17"/>
      <c r="E236" s="13">
        <f t="shared" si="21"/>
        <v>21241.11</v>
      </c>
      <c r="F236" s="17">
        <v>21241.11</v>
      </c>
      <c r="G236" s="17"/>
      <c r="H236" s="178">
        <f t="shared" si="22"/>
        <v>0</v>
      </c>
      <c r="I236" s="179">
        <v>0</v>
      </c>
      <c r="J236" s="169"/>
      <c r="K236" s="181">
        <f>I236-J236</f>
        <v>0</v>
      </c>
    </row>
    <row r="237" spans="1:11" ht="39.75" customHeight="1">
      <c r="A237" s="28" t="s">
        <v>71</v>
      </c>
      <c r="B237" s="15" t="s">
        <v>72</v>
      </c>
      <c r="C237" s="15"/>
      <c r="D237" s="17">
        <f>SUBTOTAL(9,D238:D239)</f>
        <v>11281.47</v>
      </c>
      <c r="E237" s="13">
        <f t="shared" si="21"/>
        <v>-11281.47</v>
      </c>
      <c r="F237" s="17"/>
      <c r="G237" s="17">
        <f>SUBTOTAL(9,G238:G239)</f>
        <v>11281.47</v>
      </c>
      <c r="H237" s="178">
        <f t="shared" si="22"/>
        <v>-11281.47</v>
      </c>
      <c r="I237" s="180">
        <v>0</v>
      </c>
      <c r="J237" s="180">
        <v>0</v>
      </c>
    </row>
    <row r="238" spans="1:11" ht="22.5" customHeight="1">
      <c r="A238" s="28" t="s">
        <v>10</v>
      </c>
      <c r="B238" s="15" t="s">
        <v>72</v>
      </c>
      <c r="C238" s="15" t="s">
        <v>11</v>
      </c>
      <c r="D238" s="17">
        <f>54130.71-45258</f>
        <v>8872.7099999999991</v>
      </c>
      <c r="E238" s="13">
        <f t="shared" si="21"/>
        <v>-8872.7099999999991</v>
      </c>
      <c r="F238" s="17"/>
      <c r="G238" s="17">
        <f>54130.71-45258</f>
        <v>8872.7099999999991</v>
      </c>
      <c r="H238" s="178">
        <f t="shared" si="22"/>
        <v>-8872.7099999999991</v>
      </c>
      <c r="I238" s="180">
        <v>0</v>
      </c>
      <c r="J238" s="180">
        <v>0</v>
      </c>
      <c r="K238" s="181">
        <f>I238-J238</f>
        <v>0</v>
      </c>
    </row>
    <row r="239" spans="1:11" ht="30" customHeight="1">
      <c r="A239" s="28" t="s">
        <v>12</v>
      </c>
      <c r="B239" s="15" t="s">
        <v>72</v>
      </c>
      <c r="C239" s="15" t="s">
        <v>13</v>
      </c>
      <c r="D239" s="17">
        <f>16084.76-13676</f>
        <v>2408.7600000000002</v>
      </c>
      <c r="E239" s="13">
        <f t="shared" si="21"/>
        <v>-2408.7600000000002</v>
      </c>
      <c r="F239" s="17"/>
      <c r="G239" s="17">
        <f>16084.76-13676</f>
        <v>2408.7600000000002</v>
      </c>
      <c r="H239" s="178">
        <f t="shared" si="22"/>
        <v>-2408.7600000000002</v>
      </c>
      <c r="I239" s="180">
        <v>0</v>
      </c>
      <c r="J239" s="180">
        <v>0</v>
      </c>
      <c r="K239" s="181">
        <f>I239-J239</f>
        <v>0</v>
      </c>
    </row>
    <row r="240" spans="1:11" ht="30" customHeight="1">
      <c r="A240" s="28" t="s">
        <v>271</v>
      </c>
      <c r="B240" s="15" t="s">
        <v>73</v>
      </c>
      <c r="C240" s="15"/>
      <c r="D240" s="17">
        <f>SUM(D241:D246)</f>
        <v>31981.870000000003</v>
      </c>
      <c r="E240" s="13">
        <f t="shared" si="21"/>
        <v>-31981.870000000003</v>
      </c>
      <c r="F240" s="17"/>
      <c r="G240" s="17">
        <f>SUM(G241:G246)</f>
        <v>31795.060000000005</v>
      </c>
      <c r="H240" s="178">
        <f t="shared" si="22"/>
        <v>-31795.060000000005</v>
      </c>
      <c r="I240" s="180">
        <v>0</v>
      </c>
      <c r="J240" s="180">
        <v>0</v>
      </c>
    </row>
    <row r="241" spans="1:11" ht="17.25" customHeight="1">
      <c r="A241" s="32" t="s">
        <v>15</v>
      </c>
      <c r="B241" s="15" t="s">
        <v>73</v>
      </c>
      <c r="C241" s="15" t="s">
        <v>16</v>
      </c>
      <c r="D241" s="17"/>
      <c r="E241" s="13">
        <f t="shared" si="21"/>
        <v>0</v>
      </c>
      <c r="F241" s="17"/>
      <c r="G241" s="17"/>
      <c r="H241" s="178">
        <f t="shared" si="22"/>
        <v>0</v>
      </c>
      <c r="I241" s="180">
        <v>0</v>
      </c>
      <c r="J241" s="180">
        <v>0</v>
      </c>
      <c r="K241" s="181">
        <f t="shared" ref="K241:K246" si="24">I241-J241</f>
        <v>0</v>
      </c>
    </row>
    <row r="242" spans="1:11" ht="13.5" customHeight="1">
      <c r="A242" s="33" t="s">
        <v>17</v>
      </c>
      <c r="B242" s="15" t="s">
        <v>73</v>
      </c>
      <c r="C242" s="15" t="s">
        <v>18</v>
      </c>
      <c r="D242" s="17"/>
      <c r="E242" s="13">
        <f t="shared" si="21"/>
        <v>0</v>
      </c>
      <c r="F242" s="17"/>
      <c r="G242" s="17"/>
      <c r="H242" s="178">
        <f t="shared" si="22"/>
        <v>0</v>
      </c>
      <c r="I242" s="180">
        <v>0</v>
      </c>
      <c r="J242" s="180">
        <v>0</v>
      </c>
      <c r="K242" s="181">
        <f t="shared" si="24"/>
        <v>0</v>
      </c>
    </row>
    <row r="243" spans="1:11" ht="51" customHeight="1">
      <c r="A243" s="28" t="s">
        <v>19</v>
      </c>
      <c r="B243" s="15" t="s">
        <v>73</v>
      </c>
      <c r="C243" s="15" t="s">
        <v>20</v>
      </c>
      <c r="D243" s="17">
        <f>152.4+9627.5+2721.4+3707.9+172+4383.8-5161.42-90.68+2819.27</f>
        <v>18332.169999999998</v>
      </c>
      <c r="E243" s="13">
        <f t="shared" si="21"/>
        <v>-18332.169999999998</v>
      </c>
      <c r="F243" s="17"/>
      <c r="G243" s="17">
        <f>152.4+9627.5+2721.4+3707.9+172+4383.8-5161.42-90.68+2632.46</f>
        <v>18145.36</v>
      </c>
      <c r="H243" s="178">
        <f t="shared" si="22"/>
        <v>-18145.36</v>
      </c>
      <c r="I243" s="180">
        <v>0</v>
      </c>
      <c r="J243" s="180">
        <v>0</v>
      </c>
      <c r="K243" s="181">
        <f t="shared" si="24"/>
        <v>0</v>
      </c>
    </row>
    <row r="244" spans="1:11" ht="38.25" customHeight="1">
      <c r="A244" s="28" t="s">
        <v>30</v>
      </c>
      <c r="B244" s="15" t="s">
        <v>73</v>
      </c>
      <c r="C244" s="15" t="s">
        <v>31</v>
      </c>
      <c r="D244" s="17">
        <f>13576.12</f>
        <v>13576.12</v>
      </c>
      <c r="E244" s="13">
        <f t="shared" si="21"/>
        <v>-13576.12</v>
      </c>
      <c r="F244" s="17"/>
      <c r="G244" s="17">
        <f>13576.12</f>
        <v>13576.12</v>
      </c>
      <c r="H244" s="178">
        <f t="shared" si="22"/>
        <v>-13576.12</v>
      </c>
      <c r="I244" s="180">
        <v>0</v>
      </c>
      <c r="J244" s="180">
        <v>0</v>
      </c>
      <c r="K244" s="181">
        <f t="shared" si="24"/>
        <v>0</v>
      </c>
    </row>
    <row r="245" spans="1:11" ht="25.5" customHeight="1">
      <c r="A245" s="28" t="s">
        <v>32</v>
      </c>
      <c r="B245" s="15" t="s">
        <v>73</v>
      </c>
      <c r="C245" s="15" t="s">
        <v>33</v>
      </c>
      <c r="D245" s="17">
        <v>73.58</v>
      </c>
      <c r="E245" s="13">
        <f t="shared" si="21"/>
        <v>-73.58</v>
      </c>
      <c r="F245" s="17"/>
      <c r="G245" s="17">
        <v>73.58</v>
      </c>
      <c r="H245" s="178">
        <f t="shared" si="22"/>
        <v>-73.58</v>
      </c>
      <c r="I245" s="180">
        <v>0</v>
      </c>
      <c r="J245" s="180">
        <v>0</v>
      </c>
      <c r="K245" s="181">
        <f t="shared" si="24"/>
        <v>0</v>
      </c>
    </row>
    <row r="246" spans="1:11" ht="28.5" customHeight="1">
      <c r="A246" s="28" t="s">
        <v>21</v>
      </c>
      <c r="B246" s="15" t="s">
        <v>73</v>
      </c>
      <c r="C246" s="15" t="s">
        <v>22</v>
      </c>
      <c r="D246" s="17"/>
      <c r="E246" s="13">
        <f t="shared" si="21"/>
        <v>0</v>
      </c>
      <c r="F246" s="17"/>
      <c r="G246" s="17"/>
      <c r="H246" s="178">
        <f t="shared" si="22"/>
        <v>0</v>
      </c>
      <c r="I246" s="180">
        <v>0</v>
      </c>
      <c r="J246" s="180">
        <v>0</v>
      </c>
      <c r="K246" s="181">
        <f t="shared" si="24"/>
        <v>0</v>
      </c>
    </row>
    <row r="247" spans="1:11" ht="42.75" customHeight="1">
      <c r="A247" s="28" t="s">
        <v>307</v>
      </c>
      <c r="B247" s="15" t="s">
        <v>270</v>
      </c>
      <c r="C247" s="15"/>
      <c r="D247" s="17">
        <f>D248</f>
        <v>22221.8</v>
      </c>
      <c r="E247" s="13">
        <f t="shared" si="21"/>
        <v>-22221.8</v>
      </c>
      <c r="F247" s="17"/>
      <c r="G247" s="17">
        <f>G248</f>
        <v>17116.66</v>
      </c>
      <c r="H247" s="178">
        <f t="shared" si="22"/>
        <v>-17116.66</v>
      </c>
      <c r="I247" s="180">
        <v>0</v>
      </c>
      <c r="J247" s="180">
        <v>0</v>
      </c>
    </row>
    <row r="248" spans="1:11" ht="25.5" customHeight="1">
      <c r="A248" s="28" t="s">
        <v>19</v>
      </c>
      <c r="B248" s="15" t="s">
        <v>270</v>
      </c>
      <c r="C248" s="15" t="s">
        <v>20</v>
      </c>
      <c r="D248" s="17">
        <f>22354.8-148+15</f>
        <v>22221.8</v>
      </c>
      <c r="E248" s="13">
        <f t="shared" si="21"/>
        <v>-22221.8</v>
      </c>
      <c r="F248" s="17"/>
      <c r="G248" s="17">
        <f>22354.8-4760.64-492.5+15</f>
        <v>17116.66</v>
      </c>
      <c r="H248" s="178">
        <f t="shared" si="22"/>
        <v>-17116.66</v>
      </c>
      <c r="I248" s="180">
        <v>0</v>
      </c>
      <c r="J248" s="180">
        <v>0</v>
      </c>
      <c r="K248" s="181">
        <f>I248-J248</f>
        <v>0</v>
      </c>
    </row>
    <row r="249" spans="1:11" ht="38.25" customHeight="1">
      <c r="A249" s="14" t="s">
        <v>268</v>
      </c>
      <c r="B249" s="15" t="s">
        <v>269</v>
      </c>
      <c r="C249" s="15"/>
      <c r="D249" s="17">
        <f>D250</f>
        <v>0</v>
      </c>
      <c r="E249" s="13">
        <f t="shared" si="21"/>
        <v>0</v>
      </c>
      <c r="F249" s="17"/>
      <c r="G249" s="17">
        <f>G250</f>
        <v>0</v>
      </c>
      <c r="H249" s="178">
        <f t="shared" si="22"/>
        <v>0</v>
      </c>
      <c r="I249" s="180">
        <v>0</v>
      </c>
      <c r="J249" s="180">
        <v>0</v>
      </c>
    </row>
    <row r="250" spans="1:11" ht="25.5" customHeight="1">
      <c r="A250" s="14" t="s">
        <v>19</v>
      </c>
      <c r="B250" s="15" t="s">
        <v>269</v>
      </c>
      <c r="C250" s="15" t="s">
        <v>20</v>
      </c>
      <c r="D250" s="17"/>
      <c r="E250" s="13">
        <f t="shared" ref="E250:E313" si="25">F250-D250</f>
        <v>0</v>
      </c>
      <c r="F250" s="17"/>
      <c r="G250" s="17"/>
      <c r="H250" s="178">
        <f t="shared" si="22"/>
        <v>0</v>
      </c>
      <c r="I250" s="180">
        <v>0</v>
      </c>
      <c r="J250" s="180">
        <v>0</v>
      </c>
      <c r="K250" s="181">
        <f>I250-J250</f>
        <v>0</v>
      </c>
    </row>
    <row r="251" spans="1:11" ht="15" customHeight="1">
      <c r="A251" s="28" t="s">
        <v>576</v>
      </c>
      <c r="B251" s="15" t="s">
        <v>579</v>
      </c>
      <c r="C251" s="15"/>
      <c r="D251" s="17"/>
      <c r="E251" s="13">
        <f t="shared" si="25"/>
        <v>9228.3499999999985</v>
      </c>
      <c r="F251" s="17">
        <f>F252</f>
        <v>9228.3499999999985</v>
      </c>
      <c r="G251" s="17"/>
      <c r="H251" s="178">
        <f t="shared" si="22"/>
        <v>9228.3499999999985</v>
      </c>
      <c r="I251" s="17">
        <f>I252</f>
        <v>9228.3499999999985</v>
      </c>
      <c r="J251" s="169">
        <f>J252</f>
        <v>9228.3499999999985</v>
      </c>
    </row>
    <row r="252" spans="1:11" ht="25.5" customHeight="1">
      <c r="A252" s="28" t="s">
        <v>495</v>
      </c>
      <c r="B252" s="15" t="s">
        <v>580</v>
      </c>
      <c r="C252" s="15"/>
      <c r="D252" s="17"/>
      <c r="E252" s="13">
        <f t="shared" si="25"/>
        <v>9228.3499999999985</v>
      </c>
      <c r="F252" s="17">
        <f>SUM(F253:F254)</f>
        <v>9228.3499999999985</v>
      </c>
      <c r="G252" s="17"/>
      <c r="H252" s="178">
        <f t="shared" si="22"/>
        <v>9228.3499999999985</v>
      </c>
      <c r="I252" s="17">
        <f>SUM(I253:I254)</f>
        <v>9228.3499999999985</v>
      </c>
      <c r="J252" s="169">
        <f>SUM(J253:J254)</f>
        <v>9228.3499999999985</v>
      </c>
    </row>
    <row r="253" spans="1:11" ht="29.25" customHeight="1">
      <c r="A253" s="28" t="s">
        <v>19</v>
      </c>
      <c r="B253" s="15" t="s">
        <v>580</v>
      </c>
      <c r="C253" s="15" t="s">
        <v>20</v>
      </c>
      <c r="D253" s="17"/>
      <c r="E253" s="13">
        <f t="shared" si="25"/>
        <v>8756.5499999999993</v>
      </c>
      <c r="F253" s="17">
        <v>8756.5499999999993</v>
      </c>
      <c r="G253" s="17"/>
      <c r="H253" s="178">
        <f t="shared" si="22"/>
        <v>8756.5499999999993</v>
      </c>
      <c r="I253" s="17">
        <v>8756.5499999999993</v>
      </c>
      <c r="J253" s="169">
        <v>8756.5499999999993</v>
      </c>
      <c r="K253" s="181">
        <f>I253-J253</f>
        <v>0</v>
      </c>
    </row>
    <row r="254" spans="1:11" ht="35.25" customHeight="1">
      <c r="A254" s="28" t="s">
        <v>96</v>
      </c>
      <c r="B254" s="15" t="s">
        <v>580</v>
      </c>
      <c r="C254" s="15" t="s">
        <v>97</v>
      </c>
      <c r="D254" s="17"/>
      <c r="E254" s="13">
        <f t="shared" si="25"/>
        <v>471.8</v>
      </c>
      <c r="F254" s="17">
        <v>471.8</v>
      </c>
      <c r="G254" s="17"/>
      <c r="H254" s="178">
        <f t="shared" si="22"/>
        <v>471.8</v>
      </c>
      <c r="I254" s="17">
        <v>471.8</v>
      </c>
      <c r="J254" s="169">
        <v>471.8</v>
      </c>
      <c r="K254" s="181">
        <f>I254-J254</f>
        <v>0</v>
      </c>
    </row>
    <row r="255" spans="1:11" ht="25.5" customHeight="1">
      <c r="A255" s="28" t="s">
        <v>56</v>
      </c>
      <c r="B255" s="15" t="s">
        <v>74</v>
      </c>
      <c r="C255" s="15"/>
      <c r="D255" s="17">
        <f>SUBTOTAL(9,D256:D259)</f>
        <v>345665.39</v>
      </c>
      <c r="E255" s="13">
        <f t="shared" si="25"/>
        <v>-8502.8099999999977</v>
      </c>
      <c r="F255" s="17">
        <f>SUM(F256:F259)</f>
        <v>337162.58</v>
      </c>
      <c r="G255" s="17">
        <f>SUBTOTAL(9,G256:G259)</f>
        <v>218554.28999999998</v>
      </c>
      <c r="H255" s="178">
        <f t="shared" si="22"/>
        <v>60153.290000000037</v>
      </c>
      <c r="I255" s="17">
        <f>SUM(I256:I259)</f>
        <v>278707.58</v>
      </c>
      <c r="J255" s="169">
        <f>SUM(J256:J259)</f>
        <v>264394.77999999997</v>
      </c>
    </row>
    <row r="256" spans="1:11" ht="21" customHeight="1">
      <c r="A256" s="28" t="s">
        <v>10</v>
      </c>
      <c r="B256" s="15" t="s">
        <v>74</v>
      </c>
      <c r="C256" s="15" t="s">
        <v>11</v>
      </c>
      <c r="D256" s="17">
        <f>256863.52+3392.17+1024.43</f>
        <v>261280.12</v>
      </c>
      <c r="E256" s="13">
        <f t="shared" si="25"/>
        <v>-3608.2600000000093</v>
      </c>
      <c r="F256" s="17">
        <v>257671.86</v>
      </c>
      <c r="G256" s="17">
        <f>256863.52+3392.17+1024.43-97627.6</f>
        <v>163652.51999999999</v>
      </c>
      <c r="H256" s="178">
        <f t="shared" si="22"/>
        <v>49123.040000000008</v>
      </c>
      <c r="I256" s="17">
        <f>257671.86-44896.3</f>
        <v>212775.56</v>
      </c>
      <c r="J256" s="169">
        <f>257671.86-55889.2</f>
        <v>201782.65999999997</v>
      </c>
      <c r="K256" s="132" t="s">
        <v>523</v>
      </c>
    </row>
    <row r="257" spans="1:14" ht="25.5" customHeight="1">
      <c r="A257" s="32" t="s">
        <v>15</v>
      </c>
      <c r="B257" s="15" t="s">
        <v>74</v>
      </c>
      <c r="C257" s="15" t="s">
        <v>16</v>
      </c>
      <c r="D257" s="17">
        <v>840</v>
      </c>
      <c r="E257" s="13">
        <f t="shared" si="25"/>
        <v>-108.75</v>
      </c>
      <c r="F257" s="17">
        <v>731.25</v>
      </c>
      <c r="G257" s="17">
        <v>840</v>
      </c>
      <c r="H257" s="178">
        <f t="shared" si="22"/>
        <v>-108.75</v>
      </c>
      <c r="I257" s="17">
        <v>731.25</v>
      </c>
      <c r="J257" s="169">
        <v>731.25</v>
      </c>
      <c r="K257" s="132" t="s">
        <v>523</v>
      </c>
    </row>
    <row r="258" spans="1:14" ht="15" customHeight="1">
      <c r="A258" s="28" t="s">
        <v>12</v>
      </c>
      <c r="B258" s="15" t="s">
        <v>74</v>
      </c>
      <c r="C258" s="15" t="s">
        <v>13</v>
      </c>
      <c r="D258" s="17">
        <v>77572.78</v>
      </c>
      <c r="E258" s="13">
        <f t="shared" si="25"/>
        <v>244.11999999999534</v>
      </c>
      <c r="F258" s="17">
        <v>77816.899999999994</v>
      </c>
      <c r="G258" s="17">
        <f>77572.78-29483.5</f>
        <v>48089.279999999999</v>
      </c>
      <c r="H258" s="178">
        <f t="shared" si="22"/>
        <v>16168.919999999998</v>
      </c>
      <c r="I258" s="17">
        <f>77816.9-13558.7</f>
        <v>64258.2</v>
      </c>
      <c r="J258" s="169">
        <f>77816.9-16878.6</f>
        <v>60938.299999999996</v>
      </c>
      <c r="K258" s="132" t="s">
        <v>523</v>
      </c>
    </row>
    <row r="259" spans="1:14" ht="15" customHeight="1">
      <c r="A259" s="28" t="s">
        <v>19</v>
      </c>
      <c r="B259" s="15" t="s">
        <v>74</v>
      </c>
      <c r="C259" s="15" t="s">
        <v>20</v>
      </c>
      <c r="D259" s="17">
        <v>5972.49</v>
      </c>
      <c r="E259" s="13">
        <f t="shared" si="25"/>
        <v>-5029.92</v>
      </c>
      <c r="F259" s="17">
        <v>942.57</v>
      </c>
      <c r="G259" s="17">
        <v>5972.49</v>
      </c>
      <c r="H259" s="178">
        <f t="shared" si="22"/>
        <v>-5029.92</v>
      </c>
      <c r="I259" s="17">
        <v>942.57</v>
      </c>
      <c r="J259" s="169">
        <v>942.57</v>
      </c>
      <c r="K259" s="132" t="s">
        <v>523</v>
      </c>
    </row>
    <row r="260" spans="1:14" ht="15" customHeight="1">
      <c r="A260" s="28" t="s">
        <v>23</v>
      </c>
      <c r="B260" s="15" t="s">
        <v>75</v>
      </c>
      <c r="C260" s="15"/>
      <c r="D260" s="17">
        <f>SUBTOTAL(9,D261:D262)</f>
        <v>2005.75</v>
      </c>
      <c r="E260" s="13">
        <f t="shared" si="25"/>
        <v>-206.33999999999992</v>
      </c>
      <c r="F260" s="17">
        <f>F261+F262</f>
        <v>1799.41</v>
      </c>
      <c r="G260" s="17">
        <f>SUBTOTAL(9,G261:G262)</f>
        <v>2005.75</v>
      </c>
      <c r="H260" s="178">
        <f t="shared" si="22"/>
        <v>-206.33999999999992</v>
      </c>
      <c r="I260" s="17">
        <f>I261+I262</f>
        <v>1799.41</v>
      </c>
      <c r="J260" s="169">
        <f>J261+J262</f>
        <v>1799.41</v>
      </c>
    </row>
    <row r="261" spans="1:14" ht="21.75" customHeight="1">
      <c r="A261" s="28" t="s">
        <v>10</v>
      </c>
      <c r="B261" s="15" t="s">
        <v>75</v>
      </c>
      <c r="C261" s="15" t="s">
        <v>11</v>
      </c>
      <c r="D261" s="17">
        <f>1520.7+19.8</f>
        <v>1540.5</v>
      </c>
      <c r="E261" s="13">
        <f t="shared" si="25"/>
        <v>-157.79999999999995</v>
      </c>
      <c r="F261" s="17">
        <f>1367+15.7</f>
        <v>1382.7</v>
      </c>
      <c r="G261" s="17">
        <f>1520.7+19.8</f>
        <v>1540.5</v>
      </c>
      <c r="H261" s="178">
        <f t="shared" si="22"/>
        <v>-157.79999999999995</v>
      </c>
      <c r="I261" s="17">
        <f>1367+15.7</f>
        <v>1382.7</v>
      </c>
      <c r="J261" s="169">
        <f>1367+15.7</f>
        <v>1382.7</v>
      </c>
      <c r="K261" s="142" t="s">
        <v>524</v>
      </c>
    </row>
    <row r="262" spans="1:14" ht="39" customHeight="1">
      <c r="A262" s="28" t="s">
        <v>12</v>
      </c>
      <c r="B262" s="15" t="s">
        <v>75</v>
      </c>
      <c r="C262" s="15" t="s">
        <v>13</v>
      </c>
      <c r="D262" s="17">
        <f>459.3+5.95</f>
        <v>465.25</v>
      </c>
      <c r="E262" s="13">
        <f t="shared" si="25"/>
        <v>-48.54000000000002</v>
      </c>
      <c r="F262" s="17">
        <f>412+4.71</f>
        <v>416.71</v>
      </c>
      <c r="G262" s="17">
        <f>459.3+5.95</f>
        <v>465.25</v>
      </c>
      <c r="H262" s="178">
        <f t="shared" si="22"/>
        <v>-48.54000000000002</v>
      </c>
      <c r="I262" s="17">
        <f>412+4.71</f>
        <v>416.71</v>
      </c>
      <c r="J262" s="169">
        <f>412+4.71</f>
        <v>416.71</v>
      </c>
      <c r="K262" s="142" t="s">
        <v>524</v>
      </c>
    </row>
    <row r="263" spans="1:14" ht="51.75" customHeight="1">
      <c r="A263" s="28" t="s">
        <v>518</v>
      </c>
      <c r="B263" s="15" t="s">
        <v>581</v>
      </c>
      <c r="C263" s="15"/>
      <c r="D263" s="17"/>
      <c r="E263" s="13">
        <f t="shared" si="25"/>
        <v>4311.92</v>
      </c>
      <c r="F263" s="17">
        <f>F264</f>
        <v>4311.92</v>
      </c>
      <c r="G263" s="17"/>
      <c r="H263" s="178">
        <f t="shared" si="22"/>
        <v>4311.92</v>
      </c>
      <c r="I263" s="17">
        <f>I264</f>
        <v>4311.92</v>
      </c>
      <c r="J263" s="169">
        <f>J264</f>
        <v>4311.92</v>
      </c>
      <c r="K263" s="142"/>
    </row>
    <row r="264" spans="1:14" ht="27" customHeight="1">
      <c r="A264" s="28" t="s">
        <v>19</v>
      </c>
      <c r="B264" s="15" t="s">
        <v>581</v>
      </c>
      <c r="C264" s="15" t="s">
        <v>20</v>
      </c>
      <c r="D264" s="17"/>
      <c r="E264" s="13">
        <f t="shared" si="25"/>
        <v>4311.92</v>
      </c>
      <c r="F264" s="17">
        <f>4268.8+43.12</f>
        <v>4311.92</v>
      </c>
      <c r="G264" s="17"/>
      <c r="H264" s="178">
        <f t="shared" si="22"/>
        <v>4311.92</v>
      </c>
      <c r="I264" s="17">
        <f>4268.8+43.12</f>
        <v>4311.92</v>
      </c>
      <c r="J264" s="169">
        <f>4268.8+43.12</f>
        <v>4311.92</v>
      </c>
      <c r="K264" s="129" t="s">
        <v>524</v>
      </c>
      <c r="L264" s="1">
        <f>4268.8/99</f>
        <v>43.11919191919192</v>
      </c>
      <c r="M264" s="1">
        <f>4268.8/99</f>
        <v>43.11919191919192</v>
      </c>
      <c r="N264" s="1">
        <f>4268.8/99</f>
        <v>43.11919191919192</v>
      </c>
    </row>
    <row r="265" spans="1:14" ht="36.75" customHeight="1">
      <c r="A265" s="28" t="s">
        <v>4</v>
      </c>
      <c r="B265" s="15" t="s">
        <v>5</v>
      </c>
      <c r="C265" s="7"/>
      <c r="D265" s="13">
        <f>D267</f>
        <v>0</v>
      </c>
      <c r="E265" s="13">
        <f t="shared" si="25"/>
        <v>31196.46</v>
      </c>
      <c r="F265" s="13">
        <f>F266</f>
        <v>31196.46</v>
      </c>
      <c r="G265" s="13">
        <f>G267</f>
        <v>0</v>
      </c>
      <c r="H265" s="178">
        <f t="shared" si="22"/>
        <v>31196.46</v>
      </c>
      <c r="I265" s="13">
        <f>I266</f>
        <v>31196.46</v>
      </c>
      <c r="J265" s="168">
        <f>J266</f>
        <v>31196.46</v>
      </c>
    </row>
    <row r="266" spans="1:14" ht="27.75" hidden="1" customHeight="1">
      <c r="A266" s="28" t="s">
        <v>4</v>
      </c>
      <c r="B266" s="15" t="s">
        <v>5</v>
      </c>
      <c r="C266" s="16"/>
      <c r="D266" s="17">
        <f>D272+D279+D286</f>
        <v>0</v>
      </c>
      <c r="E266" s="13">
        <f t="shared" si="25"/>
        <v>31196.46</v>
      </c>
      <c r="F266" s="17">
        <f>F267+F286</f>
        <v>31196.46</v>
      </c>
      <c r="G266" s="17">
        <f>G272+G279+G286</f>
        <v>0</v>
      </c>
      <c r="H266" s="178">
        <f t="shared" ref="H266:H329" si="26">I266-G266</f>
        <v>31196.46</v>
      </c>
      <c r="I266" s="17">
        <f>I267+I286</f>
        <v>31196.46</v>
      </c>
      <c r="J266" s="169">
        <f>J267+J286</f>
        <v>31196.46</v>
      </c>
      <c r="K266" s="129"/>
    </row>
    <row r="267" spans="1:14" ht="26.25" customHeight="1">
      <c r="A267" s="28" t="s">
        <v>587</v>
      </c>
      <c r="B267" s="15" t="s">
        <v>583</v>
      </c>
      <c r="C267" s="7"/>
      <c r="D267" s="13"/>
      <c r="E267" s="13">
        <f t="shared" si="25"/>
        <v>31196.46</v>
      </c>
      <c r="F267" s="13">
        <f>F268</f>
        <v>31196.46</v>
      </c>
      <c r="G267" s="13"/>
      <c r="H267" s="178">
        <f t="shared" si="26"/>
        <v>31196.46</v>
      </c>
      <c r="I267" s="13">
        <f>I268</f>
        <v>31196.46</v>
      </c>
      <c r="J267" s="168">
        <f>J268</f>
        <v>31196.46</v>
      </c>
    </row>
    <row r="268" spans="1:14" ht="43.5" customHeight="1">
      <c r="A268" s="28" t="s">
        <v>587</v>
      </c>
      <c r="B268" s="15" t="s">
        <v>583</v>
      </c>
      <c r="C268" s="16"/>
      <c r="D268" s="17"/>
      <c r="E268" s="13">
        <f t="shared" si="25"/>
        <v>31196.46</v>
      </c>
      <c r="F268" s="17">
        <f>F269+F271</f>
        <v>31196.46</v>
      </c>
      <c r="G268" s="17"/>
      <c r="H268" s="178">
        <f t="shared" si="26"/>
        <v>31196.46</v>
      </c>
      <c r="I268" s="17">
        <f>I269+I271</f>
        <v>31196.46</v>
      </c>
      <c r="J268" s="169">
        <f>J269+J271</f>
        <v>31196.46</v>
      </c>
      <c r="K268" s="129"/>
    </row>
    <row r="269" spans="1:14" ht="28.5" customHeight="1">
      <c r="A269" s="161" t="s">
        <v>6</v>
      </c>
      <c r="B269" s="15" t="s">
        <v>573</v>
      </c>
      <c r="C269" s="7"/>
      <c r="D269" s="13">
        <f>D271+D274</f>
        <v>0</v>
      </c>
      <c r="E269" s="13">
        <f t="shared" si="25"/>
        <v>13951.71</v>
      </c>
      <c r="F269" s="13">
        <f>F270</f>
        <v>13951.71</v>
      </c>
      <c r="G269" s="13">
        <f>G271+G274</f>
        <v>0</v>
      </c>
      <c r="H269" s="178">
        <f t="shared" si="26"/>
        <v>13951.71</v>
      </c>
      <c r="I269" s="13">
        <f>I270</f>
        <v>13951.71</v>
      </c>
      <c r="J269" s="168">
        <f>J270</f>
        <v>13951.71</v>
      </c>
    </row>
    <row r="270" spans="1:14" ht="59.25" customHeight="1">
      <c r="A270" s="28" t="s">
        <v>253</v>
      </c>
      <c r="B270" s="15" t="s">
        <v>573</v>
      </c>
      <c r="C270" s="7" t="s">
        <v>254</v>
      </c>
      <c r="D270" s="13"/>
      <c r="E270" s="13">
        <f t="shared" si="25"/>
        <v>13951.71</v>
      </c>
      <c r="F270" s="13">
        <v>13951.71</v>
      </c>
      <c r="G270" s="13"/>
      <c r="H270" s="178">
        <f t="shared" si="26"/>
        <v>13951.71</v>
      </c>
      <c r="I270" s="13">
        <v>13951.71</v>
      </c>
      <c r="J270" s="168">
        <v>13951.71</v>
      </c>
      <c r="K270" s="181">
        <f>I270-J270</f>
        <v>0</v>
      </c>
    </row>
    <row r="271" spans="1:14" ht="12.75" customHeight="1">
      <c r="A271" s="161" t="s">
        <v>80</v>
      </c>
      <c r="B271" s="15" t="s">
        <v>584</v>
      </c>
      <c r="C271" s="16"/>
      <c r="D271" s="17"/>
      <c r="E271" s="13">
        <f t="shared" si="25"/>
        <v>17244.75</v>
      </c>
      <c r="F271" s="17">
        <f>F272</f>
        <v>17244.75</v>
      </c>
      <c r="G271" s="17"/>
      <c r="H271" s="178">
        <f t="shared" si="26"/>
        <v>17244.75</v>
      </c>
      <c r="I271" s="17">
        <f>I272</f>
        <v>17244.75</v>
      </c>
      <c r="J271" s="169">
        <f>J272</f>
        <v>17244.75</v>
      </c>
      <c r="K271" s="129"/>
    </row>
    <row r="272" spans="1:14" ht="41.25" customHeight="1">
      <c r="A272" s="28" t="s">
        <v>253</v>
      </c>
      <c r="B272" s="15" t="s">
        <v>584</v>
      </c>
      <c r="C272" s="15" t="s">
        <v>254</v>
      </c>
      <c r="D272" s="17"/>
      <c r="E272" s="13">
        <f t="shared" si="25"/>
        <v>17244.75</v>
      </c>
      <c r="F272" s="17">
        <f>17244.75</f>
        <v>17244.75</v>
      </c>
      <c r="G272" s="17"/>
      <c r="H272" s="178">
        <f t="shared" si="26"/>
        <v>17244.75</v>
      </c>
      <c r="I272" s="17">
        <v>17244.75</v>
      </c>
      <c r="J272" s="169">
        <v>17244.75</v>
      </c>
      <c r="K272" s="181">
        <f>I272-J272</f>
        <v>0</v>
      </c>
    </row>
    <row r="273" spans="1:11" ht="38.25" customHeight="1">
      <c r="A273" s="164" t="s">
        <v>85</v>
      </c>
      <c r="B273" s="15" t="s">
        <v>585</v>
      </c>
      <c r="C273" s="16"/>
      <c r="D273" s="17"/>
      <c r="E273" s="13">
        <f t="shared" si="25"/>
        <v>27693.95</v>
      </c>
      <c r="F273" s="17">
        <f>F274</f>
        <v>27693.95</v>
      </c>
      <c r="G273" s="17"/>
      <c r="H273" s="178">
        <f t="shared" si="26"/>
        <v>27693.95</v>
      </c>
      <c r="I273" s="17">
        <f>I274</f>
        <v>27693.95</v>
      </c>
      <c r="J273" s="169">
        <f>J274</f>
        <v>27693.95</v>
      </c>
      <c r="K273" s="129"/>
    </row>
    <row r="274" spans="1:11" ht="25.5" customHeight="1">
      <c r="A274" s="28" t="s">
        <v>253</v>
      </c>
      <c r="B274" s="15" t="s">
        <v>585</v>
      </c>
      <c r="C274" s="15" t="s">
        <v>254</v>
      </c>
      <c r="D274" s="17"/>
      <c r="E274" s="13">
        <f t="shared" si="25"/>
        <v>27693.95</v>
      </c>
      <c r="F274" s="17">
        <f>27568.95+65+60</f>
        <v>27693.95</v>
      </c>
      <c r="G274" s="17"/>
      <c r="H274" s="178">
        <f t="shared" si="26"/>
        <v>27693.95</v>
      </c>
      <c r="I274" s="17">
        <f>27568.95+65+60</f>
        <v>27693.95</v>
      </c>
      <c r="J274" s="169">
        <f>27568.95+65+60</f>
        <v>27693.95</v>
      </c>
      <c r="K274" s="181">
        <f>I274-J274</f>
        <v>0</v>
      </c>
    </row>
    <row r="275" spans="1:11" ht="17.25" customHeight="1">
      <c r="A275" s="161" t="s">
        <v>80</v>
      </c>
      <c r="B275" s="15" t="s">
        <v>81</v>
      </c>
      <c r="C275" s="15"/>
      <c r="D275" s="17">
        <f>D277+D280</f>
        <v>16065.599999999999</v>
      </c>
      <c r="E275" s="13">
        <f t="shared" si="25"/>
        <v>-16065.599999999999</v>
      </c>
      <c r="F275" s="17"/>
      <c r="G275" s="17">
        <f>G277+G280</f>
        <v>16065.599999999999</v>
      </c>
      <c r="H275" s="178">
        <f t="shared" si="26"/>
        <v>-16065.599999999999</v>
      </c>
      <c r="I275" s="180">
        <v>0</v>
      </c>
      <c r="J275" s="180">
        <v>0</v>
      </c>
      <c r="K275" s="129"/>
    </row>
    <row r="276" spans="1:11" ht="39" customHeight="1">
      <c r="A276" s="28" t="s">
        <v>253</v>
      </c>
      <c r="B276" s="15" t="s">
        <v>81</v>
      </c>
      <c r="C276" s="15" t="s">
        <v>254</v>
      </c>
      <c r="D276" s="17"/>
      <c r="E276" s="13">
        <f t="shared" si="25"/>
        <v>0</v>
      </c>
      <c r="F276" s="17"/>
      <c r="G276" s="17"/>
      <c r="H276" s="178">
        <f t="shared" si="26"/>
        <v>0</v>
      </c>
      <c r="I276" s="180">
        <v>0</v>
      </c>
      <c r="J276" s="180">
        <v>0</v>
      </c>
      <c r="K276" s="181">
        <f>I276-J276</f>
        <v>0</v>
      </c>
    </row>
    <row r="277" spans="1:11" ht="38.25" customHeight="1">
      <c r="A277" s="28" t="s">
        <v>82</v>
      </c>
      <c r="B277" s="15" t="s">
        <v>83</v>
      </c>
      <c r="C277" s="15"/>
      <c r="D277" s="17">
        <f>SUBTOTAL(9,D278:D279)</f>
        <v>0</v>
      </c>
      <c r="E277" s="13">
        <f t="shared" si="25"/>
        <v>0</v>
      </c>
      <c r="F277" s="17"/>
      <c r="G277" s="17">
        <f>SUBTOTAL(9,G278:G279)</f>
        <v>0</v>
      </c>
      <c r="H277" s="178">
        <f t="shared" si="26"/>
        <v>0</v>
      </c>
      <c r="I277" s="180">
        <v>0</v>
      </c>
      <c r="J277" s="180">
        <v>0</v>
      </c>
      <c r="K277" s="129"/>
    </row>
    <row r="278" spans="1:11" ht="25.5" customHeight="1">
      <c r="A278" s="28" t="s">
        <v>10</v>
      </c>
      <c r="B278" s="15" t="s">
        <v>83</v>
      </c>
      <c r="C278" s="15" t="s">
        <v>11</v>
      </c>
      <c r="D278" s="17"/>
      <c r="E278" s="13">
        <f t="shared" si="25"/>
        <v>0</v>
      </c>
      <c r="F278" s="17"/>
      <c r="G278" s="17"/>
      <c r="H278" s="178">
        <f t="shared" si="26"/>
        <v>0</v>
      </c>
      <c r="I278" s="180">
        <v>0</v>
      </c>
      <c r="J278" s="180">
        <v>0</v>
      </c>
      <c r="K278" s="181">
        <f>I278-J278</f>
        <v>0</v>
      </c>
    </row>
    <row r="279" spans="1:11" ht="25.5" customHeight="1">
      <c r="A279" s="28" t="s">
        <v>12</v>
      </c>
      <c r="B279" s="15" t="s">
        <v>83</v>
      </c>
      <c r="C279" s="15" t="s">
        <v>13</v>
      </c>
      <c r="D279" s="17"/>
      <c r="E279" s="13">
        <f t="shared" si="25"/>
        <v>0</v>
      </c>
      <c r="F279" s="17"/>
      <c r="G279" s="17"/>
      <c r="H279" s="178">
        <f t="shared" si="26"/>
        <v>0</v>
      </c>
      <c r="I279" s="180">
        <v>0</v>
      </c>
      <c r="J279" s="180">
        <v>0</v>
      </c>
      <c r="K279" s="181">
        <f>I279-J279</f>
        <v>0</v>
      </c>
    </row>
    <row r="280" spans="1:11" ht="25.5" customHeight="1">
      <c r="A280" s="28" t="s">
        <v>272</v>
      </c>
      <c r="B280" s="15" t="s">
        <v>84</v>
      </c>
      <c r="C280" s="16"/>
      <c r="D280" s="17">
        <f>SUM(D281:D281)</f>
        <v>16065.599999999999</v>
      </c>
      <c r="E280" s="13">
        <f t="shared" si="25"/>
        <v>-16065.599999999999</v>
      </c>
      <c r="F280" s="17"/>
      <c r="G280" s="17">
        <f>SUM(G281:G281)</f>
        <v>16065.599999999999</v>
      </c>
      <c r="H280" s="178">
        <f t="shared" si="26"/>
        <v>-16065.599999999999</v>
      </c>
      <c r="I280" s="180">
        <v>0</v>
      </c>
      <c r="J280" s="180">
        <v>0</v>
      </c>
      <c r="K280" s="129"/>
    </row>
    <row r="281" spans="1:11" ht="25.5" customHeight="1">
      <c r="A281" s="28" t="s">
        <v>253</v>
      </c>
      <c r="B281" s="15" t="s">
        <v>84</v>
      </c>
      <c r="C281" s="15" t="s">
        <v>254</v>
      </c>
      <c r="D281" s="17">
        <f>12792.4+72+51.88+1093.57+88.54+1905.3+61.91</f>
        <v>16065.599999999999</v>
      </c>
      <c r="E281" s="13">
        <f t="shared" si="25"/>
        <v>-16065.599999999999</v>
      </c>
      <c r="F281" s="17"/>
      <c r="G281" s="17">
        <f>12792.4+72+51.88+1093.57+88.54+1905.3+61.91</f>
        <v>16065.599999999999</v>
      </c>
      <c r="H281" s="178">
        <f t="shared" si="26"/>
        <v>-16065.599999999999</v>
      </c>
      <c r="I281" s="180">
        <v>0</v>
      </c>
      <c r="J281" s="180">
        <v>0</v>
      </c>
      <c r="K281" s="181">
        <f>I281-J281</f>
        <v>0</v>
      </c>
    </row>
    <row r="282" spans="1:11" ht="25.5" customHeight="1">
      <c r="A282" s="164" t="s">
        <v>85</v>
      </c>
      <c r="B282" s="15" t="s">
        <v>86</v>
      </c>
      <c r="C282" s="15"/>
      <c r="D282" s="17">
        <f>D284+D287</f>
        <v>24167.510000000002</v>
      </c>
      <c r="E282" s="13">
        <f t="shared" si="25"/>
        <v>-24167.510000000002</v>
      </c>
      <c r="F282" s="17"/>
      <c r="G282" s="17">
        <f>G284+G287</f>
        <v>24167.510000000002</v>
      </c>
      <c r="H282" s="178">
        <f t="shared" si="26"/>
        <v>-24167.510000000002</v>
      </c>
      <c r="I282" s="180">
        <v>0</v>
      </c>
      <c r="J282" s="180">
        <v>0</v>
      </c>
      <c r="K282" s="129"/>
    </row>
    <row r="283" spans="1:11" ht="38.25" customHeight="1">
      <c r="A283" s="28" t="s">
        <v>253</v>
      </c>
      <c r="B283" s="15" t="s">
        <v>86</v>
      </c>
      <c r="C283" s="15" t="s">
        <v>254</v>
      </c>
      <c r="D283" s="17"/>
      <c r="E283" s="13">
        <f t="shared" si="25"/>
        <v>0</v>
      </c>
      <c r="F283" s="17"/>
      <c r="G283" s="17"/>
      <c r="H283" s="178">
        <f t="shared" si="26"/>
        <v>0</v>
      </c>
      <c r="I283" s="180">
        <v>0</v>
      </c>
      <c r="J283" s="180">
        <v>0</v>
      </c>
      <c r="K283" s="181">
        <f>I283-J283</f>
        <v>0</v>
      </c>
    </row>
    <row r="284" spans="1:11" ht="25.5" customHeight="1">
      <c r="A284" s="28" t="s">
        <v>87</v>
      </c>
      <c r="B284" s="15" t="s">
        <v>88</v>
      </c>
      <c r="C284" s="15"/>
      <c r="D284" s="17">
        <f>SUBTOTAL(9,D285:D286)</f>
        <v>0</v>
      </c>
      <c r="E284" s="13">
        <f t="shared" si="25"/>
        <v>0</v>
      </c>
      <c r="F284" s="17"/>
      <c r="G284" s="17">
        <f>SUBTOTAL(9,G285:G286)</f>
        <v>0</v>
      </c>
      <c r="H284" s="178">
        <f t="shared" si="26"/>
        <v>0</v>
      </c>
      <c r="I284" s="180">
        <v>0</v>
      </c>
      <c r="J284" s="180">
        <v>0</v>
      </c>
      <c r="K284" s="129"/>
    </row>
    <row r="285" spans="1:11" ht="28.5" customHeight="1">
      <c r="A285" s="28" t="s">
        <v>10</v>
      </c>
      <c r="B285" s="15" t="s">
        <v>88</v>
      </c>
      <c r="C285" s="15" t="s">
        <v>11</v>
      </c>
      <c r="D285" s="17"/>
      <c r="E285" s="13">
        <f t="shared" si="25"/>
        <v>0</v>
      </c>
      <c r="F285" s="17"/>
      <c r="G285" s="17"/>
      <c r="H285" s="178">
        <f t="shared" si="26"/>
        <v>0</v>
      </c>
      <c r="I285" s="180">
        <v>0</v>
      </c>
      <c r="J285" s="180">
        <v>0</v>
      </c>
      <c r="K285" s="181">
        <f>I285-J285</f>
        <v>0</v>
      </c>
    </row>
    <row r="286" spans="1:11" ht="25.5" customHeight="1">
      <c r="A286" s="28" t="s">
        <v>12</v>
      </c>
      <c r="B286" s="15" t="s">
        <v>88</v>
      </c>
      <c r="C286" s="15" t="s">
        <v>13</v>
      </c>
      <c r="D286" s="17"/>
      <c r="E286" s="13">
        <f t="shared" si="25"/>
        <v>0</v>
      </c>
      <c r="F286" s="17"/>
      <c r="G286" s="17"/>
      <c r="H286" s="178">
        <f t="shared" si="26"/>
        <v>0</v>
      </c>
      <c r="I286" s="180">
        <v>0</v>
      </c>
      <c r="J286" s="180">
        <v>0</v>
      </c>
      <c r="K286" s="181">
        <f>I286-J286</f>
        <v>0</v>
      </c>
    </row>
    <row r="287" spans="1:11" ht="25.5" customHeight="1">
      <c r="A287" s="28" t="s">
        <v>273</v>
      </c>
      <c r="B287" s="15" t="s">
        <v>89</v>
      </c>
      <c r="C287" s="16"/>
      <c r="D287" s="17">
        <f>D288</f>
        <v>24167.510000000002</v>
      </c>
      <c r="E287" s="13">
        <f t="shared" si="25"/>
        <v>-24167.510000000002</v>
      </c>
      <c r="F287" s="17"/>
      <c r="G287" s="17">
        <f>G288</f>
        <v>24167.510000000002</v>
      </c>
      <c r="H287" s="178">
        <f t="shared" si="26"/>
        <v>-24167.510000000002</v>
      </c>
      <c r="I287" s="180">
        <v>0</v>
      </c>
      <c r="J287" s="180">
        <v>0</v>
      </c>
      <c r="K287" s="129"/>
    </row>
    <row r="288" spans="1:11" ht="38.25" customHeight="1">
      <c r="A288" s="28" t="s">
        <v>253</v>
      </c>
      <c r="B288" s="15" t="s">
        <v>89</v>
      </c>
      <c r="C288" s="15" t="s">
        <v>254</v>
      </c>
      <c r="D288" s="17">
        <f>18172.2+139.36+57.76+625.6+135.2+4675.2+47.81+314.38</f>
        <v>24167.510000000002</v>
      </c>
      <c r="E288" s="13">
        <f t="shared" si="25"/>
        <v>-24167.510000000002</v>
      </c>
      <c r="F288" s="17"/>
      <c r="G288" s="17">
        <f>18172.2+139.36+57.76+625.6+135.2+4675.2+47.81+314.38</f>
        <v>24167.510000000002</v>
      </c>
      <c r="H288" s="178">
        <f t="shared" si="26"/>
        <v>-24167.510000000002</v>
      </c>
      <c r="I288" s="180">
        <v>0</v>
      </c>
      <c r="J288" s="180">
        <v>0</v>
      </c>
      <c r="K288" s="181">
        <f>I288-J288</f>
        <v>0</v>
      </c>
    </row>
    <row r="289" spans="1:11" ht="14.25" customHeight="1">
      <c r="A289" s="28" t="s">
        <v>8</v>
      </c>
      <c r="B289" s="15" t="s">
        <v>9</v>
      </c>
      <c r="C289" s="15"/>
      <c r="D289" s="13">
        <f>D290+D291</f>
        <v>0</v>
      </c>
      <c r="E289" s="13">
        <f t="shared" si="25"/>
        <v>0</v>
      </c>
      <c r="F289" s="13">
        <f>F290+F291</f>
        <v>0</v>
      </c>
      <c r="G289" s="13">
        <f>G290+G291</f>
        <v>0</v>
      </c>
      <c r="H289" s="178">
        <f t="shared" si="26"/>
        <v>0</v>
      </c>
      <c r="I289" s="179">
        <v>0</v>
      </c>
      <c r="J289" s="180">
        <v>0</v>
      </c>
    </row>
    <row r="290" spans="1:11" ht="28.5" customHeight="1">
      <c r="A290" s="28" t="s">
        <v>10</v>
      </c>
      <c r="B290" s="15" t="s">
        <v>9</v>
      </c>
      <c r="C290" s="15" t="s">
        <v>11</v>
      </c>
      <c r="D290" s="13"/>
      <c r="E290" s="13">
        <f t="shared" si="25"/>
        <v>0</v>
      </c>
      <c r="F290" s="13"/>
      <c r="G290" s="13"/>
      <c r="H290" s="178">
        <f t="shared" si="26"/>
        <v>0</v>
      </c>
      <c r="I290" s="179">
        <v>0</v>
      </c>
      <c r="J290" s="180">
        <v>0</v>
      </c>
      <c r="K290" s="181">
        <f>I290-J290</f>
        <v>0</v>
      </c>
    </row>
    <row r="291" spans="1:11" ht="41.25" customHeight="1">
      <c r="A291" s="28" t="s">
        <v>12</v>
      </c>
      <c r="B291" s="15" t="s">
        <v>9</v>
      </c>
      <c r="C291" s="15" t="s">
        <v>13</v>
      </c>
      <c r="D291" s="13"/>
      <c r="E291" s="13">
        <f t="shared" si="25"/>
        <v>0</v>
      </c>
      <c r="F291" s="13"/>
      <c r="G291" s="13"/>
      <c r="H291" s="178">
        <f t="shared" si="26"/>
        <v>0</v>
      </c>
      <c r="I291" s="180">
        <v>0</v>
      </c>
      <c r="J291" s="180">
        <v>0</v>
      </c>
      <c r="K291" s="181">
        <f>I291-J291</f>
        <v>0</v>
      </c>
    </row>
    <row r="292" spans="1:11" ht="41.25" customHeight="1">
      <c r="A292" s="28" t="s">
        <v>255</v>
      </c>
      <c r="B292" s="15" t="s">
        <v>14</v>
      </c>
      <c r="C292" s="16"/>
      <c r="D292" s="13">
        <f>SUM(D293:D293)</f>
        <v>13207.259999999998</v>
      </c>
      <c r="E292" s="13">
        <f t="shared" si="25"/>
        <v>-13207.259999999998</v>
      </c>
      <c r="F292" s="13">
        <f>SUM(F293:F293)</f>
        <v>0</v>
      </c>
      <c r="G292" s="13">
        <f>SUM(G293:G293)</f>
        <v>13207.259999999998</v>
      </c>
      <c r="H292" s="178">
        <f t="shared" si="26"/>
        <v>-13207.259999999998</v>
      </c>
      <c r="I292" s="180">
        <v>0</v>
      </c>
      <c r="J292" s="180">
        <v>0</v>
      </c>
    </row>
    <row r="293" spans="1:11" ht="50.25" customHeight="1">
      <c r="A293" s="28" t="s">
        <v>253</v>
      </c>
      <c r="B293" s="15" t="s">
        <v>14</v>
      </c>
      <c r="C293" s="15" t="s">
        <v>254</v>
      </c>
      <c r="D293" s="13">
        <f>11388.15+33.4+1429.21+332+24.5</f>
        <v>13207.259999999998</v>
      </c>
      <c r="E293" s="13">
        <f t="shared" si="25"/>
        <v>-13207.259999999998</v>
      </c>
      <c r="F293" s="13"/>
      <c r="G293" s="13">
        <f>11388.15+33.4+1429.21+332+24.5</f>
        <v>13207.259999999998</v>
      </c>
      <c r="H293" s="178">
        <f t="shared" si="26"/>
        <v>-13207.259999999998</v>
      </c>
      <c r="I293" s="180">
        <v>0</v>
      </c>
      <c r="J293" s="180">
        <v>0</v>
      </c>
      <c r="K293" s="181">
        <f>I293-J293</f>
        <v>0</v>
      </c>
    </row>
    <row r="294" spans="1:11" ht="15.75" customHeight="1">
      <c r="A294" s="28" t="s">
        <v>23</v>
      </c>
      <c r="B294" s="15" t="s">
        <v>24</v>
      </c>
      <c r="C294" s="15"/>
      <c r="D294" s="17">
        <f>D295+D296+D297</f>
        <v>319</v>
      </c>
      <c r="E294" s="13">
        <f t="shared" si="25"/>
        <v>-285.39999999999998</v>
      </c>
      <c r="F294" s="17">
        <f>F297</f>
        <v>33.6</v>
      </c>
      <c r="G294" s="17">
        <f>G295+G296+G297</f>
        <v>319</v>
      </c>
      <c r="H294" s="178">
        <f t="shared" si="26"/>
        <v>-285.39999999999998</v>
      </c>
      <c r="I294" s="17">
        <f>I297</f>
        <v>33.6</v>
      </c>
      <c r="J294" s="169">
        <f>J297</f>
        <v>33.6</v>
      </c>
      <c r="K294" s="129"/>
    </row>
    <row r="295" spans="1:11" ht="41.25" customHeight="1">
      <c r="A295" s="28" t="s">
        <v>10</v>
      </c>
      <c r="B295" s="15" t="s">
        <v>24</v>
      </c>
      <c r="C295" s="15" t="s">
        <v>11</v>
      </c>
      <c r="D295" s="17"/>
      <c r="E295" s="13">
        <f t="shared" si="25"/>
        <v>0</v>
      </c>
      <c r="F295" s="17"/>
      <c r="G295" s="17"/>
      <c r="H295" s="178">
        <f t="shared" si="26"/>
        <v>0</v>
      </c>
      <c r="I295" s="180">
        <v>0</v>
      </c>
      <c r="J295" s="180">
        <v>0</v>
      </c>
      <c r="K295" s="181">
        <f>I295-J295</f>
        <v>0</v>
      </c>
    </row>
    <row r="296" spans="1:11" ht="25.5" customHeight="1">
      <c r="A296" s="28" t="s">
        <v>12</v>
      </c>
      <c r="B296" s="15" t="s">
        <v>24</v>
      </c>
      <c r="C296" s="15" t="s">
        <v>13</v>
      </c>
      <c r="D296" s="17"/>
      <c r="E296" s="13">
        <f t="shared" si="25"/>
        <v>0</v>
      </c>
      <c r="F296" s="17"/>
      <c r="G296" s="17"/>
      <c r="H296" s="178">
        <f t="shared" si="26"/>
        <v>0</v>
      </c>
      <c r="I296" s="180">
        <v>0</v>
      </c>
      <c r="J296" s="180">
        <v>0</v>
      </c>
      <c r="K296" s="181">
        <f>I296-J296</f>
        <v>0</v>
      </c>
    </row>
    <row r="297" spans="1:11" ht="25.5" customHeight="1">
      <c r="A297" s="28" t="s">
        <v>253</v>
      </c>
      <c r="B297" s="15" t="s">
        <v>24</v>
      </c>
      <c r="C297" s="15" t="s">
        <v>254</v>
      </c>
      <c r="D297" s="17">
        <v>319</v>
      </c>
      <c r="E297" s="13">
        <f t="shared" si="25"/>
        <v>-285.39999999999998</v>
      </c>
      <c r="F297" s="17">
        <f>26+7.6</f>
        <v>33.6</v>
      </c>
      <c r="G297" s="17">
        <v>319</v>
      </c>
      <c r="H297" s="178">
        <f t="shared" si="26"/>
        <v>-285.39999999999998</v>
      </c>
      <c r="I297" s="17">
        <f>26+7.6</f>
        <v>33.6</v>
      </c>
      <c r="J297" s="169">
        <f>26+7.6</f>
        <v>33.6</v>
      </c>
      <c r="K297" s="149" t="s">
        <v>524</v>
      </c>
    </row>
    <row r="298" spans="1:11" ht="25.5" customHeight="1">
      <c r="A298" s="28" t="s">
        <v>90</v>
      </c>
      <c r="B298" s="16" t="s">
        <v>386</v>
      </c>
      <c r="C298" s="7"/>
      <c r="D298" s="17"/>
      <c r="E298" s="13">
        <f t="shared" si="25"/>
        <v>0</v>
      </c>
      <c r="F298" s="17">
        <f>F299</f>
        <v>0</v>
      </c>
      <c r="G298" s="17"/>
      <c r="H298" s="178">
        <f t="shared" si="26"/>
        <v>0</v>
      </c>
      <c r="I298" s="17">
        <f>I299</f>
        <v>0</v>
      </c>
      <c r="J298" s="169">
        <f>J299</f>
        <v>0</v>
      </c>
      <c r="K298" s="129"/>
    </row>
    <row r="299" spans="1:11" ht="25.5" customHeight="1">
      <c r="A299" s="28" t="s">
        <v>240</v>
      </c>
      <c r="B299" s="15" t="s">
        <v>386</v>
      </c>
      <c r="C299" s="15"/>
      <c r="D299" s="17">
        <f>D300+D306</f>
        <v>1459.6</v>
      </c>
      <c r="E299" s="13">
        <f t="shared" si="25"/>
        <v>-1459.6</v>
      </c>
      <c r="F299" s="17"/>
      <c r="G299" s="17">
        <f>G300+G306</f>
        <v>1459.6</v>
      </c>
      <c r="H299" s="178">
        <f t="shared" si="26"/>
        <v>-1459.6</v>
      </c>
      <c r="I299" s="180">
        <v>0</v>
      </c>
      <c r="J299" s="180">
        <v>0</v>
      </c>
    </row>
    <row r="300" spans="1:11" ht="18" customHeight="1">
      <c r="A300" s="28" t="s">
        <v>241</v>
      </c>
      <c r="B300" s="15" t="s">
        <v>387</v>
      </c>
      <c r="C300" s="15"/>
      <c r="D300" s="17">
        <f>D301+D304</f>
        <v>1459.6</v>
      </c>
      <c r="E300" s="13">
        <f t="shared" si="25"/>
        <v>-1459.6</v>
      </c>
      <c r="F300" s="17"/>
      <c r="G300" s="17">
        <f>G301+G304</f>
        <v>1459.6</v>
      </c>
      <c r="H300" s="178">
        <f t="shared" si="26"/>
        <v>-1459.6</v>
      </c>
      <c r="I300" s="180">
        <v>0</v>
      </c>
      <c r="J300" s="180">
        <v>0</v>
      </c>
    </row>
    <row r="301" spans="1:11" ht="25.5" customHeight="1">
      <c r="A301" s="28" t="s">
        <v>242</v>
      </c>
      <c r="B301" s="15" t="s">
        <v>388</v>
      </c>
      <c r="C301" s="4"/>
      <c r="D301" s="17">
        <f>SUBTOTAL(9,D302:D303)</f>
        <v>975.6</v>
      </c>
      <c r="E301" s="13">
        <f t="shared" si="25"/>
        <v>-975.6</v>
      </c>
      <c r="F301" s="17"/>
      <c r="G301" s="17">
        <f>SUBTOTAL(9,G302:G303)</f>
        <v>975.6</v>
      </c>
      <c r="H301" s="178">
        <f t="shared" si="26"/>
        <v>-975.6</v>
      </c>
      <c r="I301" s="180">
        <v>0</v>
      </c>
      <c r="J301" s="180">
        <v>0</v>
      </c>
    </row>
    <row r="302" spans="1:11" ht="25.5" customHeight="1">
      <c r="A302" s="28" t="s">
        <v>10</v>
      </c>
      <c r="B302" s="15" t="s">
        <v>388</v>
      </c>
      <c r="C302" s="15" t="s">
        <v>11</v>
      </c>
      <c r="D302" s="17">
        <v>975.6</v>
      </c>
      <c r="E302" s="13">
        <f t="shared" si="25"/>
        <v>-975.6</v>
      </c>
      <c r="F302" s="17"/>
      <c r="G302" s="17">
        <v>975.6</v>
      </c>
      <c r="H302" s="178">
        <f t="shared" si="26"/>
        <v>-975.6</v>
      </c>
      <c r="I302" s="180">
        <v>0</v>
      </c>
      <c r="J302" s="180">
        <v>0</v>
      </c>
      <c r="K302" s="181">
        <f>I302-J302</f>
        <v>0</v>
      </c>
    </row>
    <row r="303" spans="1:11" ht="25.5" customHeight="1">
      <c r="A303" s="28" t="s">
        <v>12</v>
      </c>
      <c r="B303" s="15" t="s">
        <v>388</v>
      </c>
      <c r="C303" s="15" t="s">
        <v>13</v>
      </c>
      <c r="D303" s="17"/>
      <c r="E303" s="13">
        <f t="shared" si="25"/>
        <v>0</v>
      </c>
      <c r="F303" s="17"/>
      <c r="G303" s="17"/>
      <c r="H303" s="178">
        <f t="shared" si="26"/>
        <v>0</v>
      </c>
      <c r="I303" s="180">
        <v>0</v>
      </c>
      <c r="J303" s="180">
        <v>0</v>
      </c>
      <c r="K303" s="181">
        <f>I303-J303</f>
        <v>0</v>
      </c>
    </row>
    <row r="304" spans="1:11" ht="33" customHeight="1">
      <c r="A304" s="28" t="s">
        <v>243</v>
      </c>
      <c r="B304" s="15" t="s">
        <v>389</v>
      </c>
      <c r="C304" s="4"/>
      <c r="D304" s="17">
        <f>SUBTOTAL(9,D305:D305)</f>
        <v>484</v>
      </c>
      <c r="E304" s="13">
        <f t="shared" si="25"/>
        <v>-484</v>
      </c>
      <c r="F304" s="17"/>
      <c r="G304" s="17">
        <f>SUBTOTAL(9,G305:G305)</f>
        <v>484</v>
      </c>
      <c r="H304" s="178">
        <f t="shared" si="26"/>
        <v>-484</v>
      </c>
      <c r="I304" s="180">
        <v>0</v>
      </c>
      <c r="J304" s="180">
        <v>0</v>
      </c>
    </row>
    <row r="305" spans="1:11" ht="30.75" customHeight="1">
      <c r="A305" s="28" t="s">
        <v>30</v>
      </c>
      <c r="B305" s="15" t="s">
        <v>389</v>
      </c>
      <c r="C305" s="4" t="s">
        <v>31</v>
      </c>
      <c r="D305" s="17">
        <v>484</v>
      </c>
      <c r="E305" s="13">
        <f t="shared" si="25"/>
        <v>-484</v>
      </c>
      <c r="F305" s="17"/>
      <c r="G305" s="17">
        <v>484</v>
      </c>
      <c r="H305" s="178">
        <f t="shared" si="26"/>
        <v>-484</v>
      </c>
      <c r="I305" s="180">
        <v>0</v>
      </c>
      <c r="J305" s="180">
        <v>0</v>
      </c>
      <c r="K305" s="181">
        <f>I305-J305</f>
        <v>0</v>
      </c>
    </row>
    <row r="306" spans="1:11" ht="30.75" customHeight="1">
      <c r="A306" s="164" t="s">
        <v>576</v>
      </c>
      <c r="B306" s="16" t="s">
        <v>390</v>
      </c>
      <c r="C306" s="15"/>
      <c r="D306" s="17"/>
      <c r="E306" s="13">
        <f t="shared" si="25"/>
        <v>0</v>
      </c>
      <c r="F306" s="17">
        <f>F307</f>
        <v>0</v>
      </c>
      <c r="G306" s="17"/>
      <c r="H306" s="178">
        <f t="shared" si="26"/>
        <v>0</v>
      </c>
      <c r="I306" s="17">
        <f>I307</f>
        <v>0</v>
      </c>
      <c r="J306" s="169">
        <f>J307</f>
        <v>0</v>
      </c>
      <c r="K306" s="129"/>
    </row>
    <row r="307" spans="1:11" ht="27.75" customHeight="1">
      <c r="A307" s="28" t="s">
        <v>244</v>
      </c>
      <c r="B307" s="15" t="s">
        <v>390</v>
      </c>
      <c r="C307" s="15"/>
      <c r="D307" s="17">
        <f>SUM(D308:D309)</f>
        <v>1000</v>
      </c>
      <c r="E307" s="13">
        <f t="shared" si="25"/>
        <v>-1000</v>
      </c>
      <c r="F307" s="17"/>
      <c r="G307" s="17">
        <f>SUM(G308:G309)</f>
        <v>1000</v>
      </c>
      <c r="H307" s="178">
        <f t="shared" si="26"/>
        <v>-1000</v>
      </c>
      <c r="I307" s="180">
        <v>0</v>
      </c>
      <c r="J307" s="180">
        <v>0</v>
      </c>
    </row>
    <row r="308" spans="1:11" ht="27.75" customHeight="1">
      <c r="A308" s="33" t="s">
        <v>17</v>
      </c>
      <c r="B308" s="15" t="s">
        <v>390</v>
      </c>
      <c r="C308" s="15" t="s">
        <v>18</v>
      </c>
      <c r="D308" s="17">
        <v>200</v>
      </c>
      <c r="E308" s="13">
        <f t="shared" si="25"/>
        <v>-200</v>
      </c>
      <c r="F308" s="17"/>
      <c r="G308" s="17">
        <v>200</v>
      </c>
      <c r="H308" s="178">
        <f t="shared" si="26"/>
        <v>-200</v>
      </c>
      <c r="I308" s="180">
        <v>0</v>
      </c>
      <c r="J308" s="180">
        <v>0</v>
      </c>
      <c r="K308" s="181">
        <f>I308-J308</f>
        <v>0</v>
      </c>
    </row>
    <row r="309" spans="1:11" ht="18.75" customHeight="1">
      <c r="A309" s="28" t="s">
        <v>19</v>
      </c>
      <c r="B309" s="15" t="s">
        <v>390</v>
      </c>
      <c r="C309" s="15" t="s">
        <v>20</v>
      </c>
      <c r="D309" s="17">
        <v>800</v>
      </c>
      <c r="E309" s="13">
        <f t="shared" si="25"/>
        <v>-800</v>
      </c>
      <c r="F309" s="17"/>
      <c r="G309" s="17">
        <v>800</v>
      </c>
      <c r="H309" s="178">
        <f t="shared" si="26"/>
        <v>-800</v>
      </c>
      <c r="I309" s="180">
        <v>0</v>
      </c>
      <c r="J309" s="180">
        <v>0</v>
      </c>
      <c r="K309" s="181">
        <f>I309-J309</f>
        <v>0</v>
      </c>
    </row>
    <row r="310" spans="1:11" ht="18.75" customHeight="1">
      <c r="A310" s="164" t="s">
        <v>591</v>
      </c>
      <c r="B310" s="16" t="s">
        <v>590</v>
      </c>
      <c r="C310" s="15"/>
      <c r="D310" s="17"/>
      <c r="E310" s="13">
        <f t="shared" si="25"/>
        <v>0</v>
      </c>
      <c r="F310" s="17">
        <f>F311</f>
        <v>0</v>
      </c>
      <c r="G310" s="17"/>
      <c r="H310" s="178">
        <f t="shared" si="26"/>
        <v>0</v>
      </c>
      <c r="I310" s="17">
        <f>I311</f>
        <v>0</v>
      </c>
      <c r="J310" s="169">
        <f>J311</f>
        <v>0</v>
      </c>
      <c r="K310" s="129"/>
    </row>
    <row r="311" spans="1:11" ht="28.5" customHeight="1">
      <c r="A311" s="28" t="s">
        <v>19</v>
      </c>
      <c r="B311" s="16" t="s">
        <v>590</v>
      </c>
      <c r="C311" s="15" t="s">
        <v>20</v>
      </c>
      <c r="D311" s="17"/>
      <c r="E311" s="13">
        <f t="shared" si="25"/>
        <v>0</v>
      </c>
      <c r="F311" s="17"/>
      <c r="G311" s="17"/>
      <c r="H311" s="178">
        <f t="shared" si="26"/>
        <v>0</v>
      </c>
      <c r="I311" s="180">
        <v>0</v>
      </c>
      <c r="J311" s="180">
        <v>0</v>
      </c>
      <c r="K311" s="181">
        <f>I311-J311</f>
        <v>0</v>
      </c>
    </row>
    <row r="312" spans="1:11" ht="27.75" customHeight="1">
      <c r="A312" s="28" t="s">
        <v>90</v>
      </c>
      <c r="B312" s="15" t="s">
        <v>91</v>
      </c>
      <c r="C312" s="15"/>
      <c r="D312" s="17">
        <f>D314</f>
        <v>1649.9</v>
      </c>
      <c r="E312" s="13">
        <f t="shared" si="25"/>
        <v>-1649.9</v>
      </c>
      <c r="F312" s="17"/>
      <c r="G312" s="17">
        <f>G314</f>
        <v>1649.9</v>
      </c>
      <c r="H312" s="178">
        <f t="shared" si="26"/>
        <v>-1649.9</v>
      </c>
      <c r="I312" s="180">
        <v>0</v>
      </c>
      <c r="J312" s="180">
        <v>0</v>
      </c>
      <c r="K312" s="129"/>
    </row>
    <row r="313" spans="1:11" ht="27.75" customHeight="1">
      <c r="A313" s="164" t="s">
        <v>92</v>
      </c>
      <c r="B313" s="15" t="s">
        <v>93</v>
      </c>
      <c r="C313" s="15"/>
      <c r="D313" s="17">
        <f>D314</f>
        <v>1649.9</v>
      </c>
      <c r="E313" s="13">
        <f t="shared" si="25"/>
        <v>-1649.9</v>
      </c>
      <c r="F313" s="17"/>
      <c r="G313" s="17">
        <f>G314</f>
        <v>1649.9</v>
      </c>
      <c r="H313" s="178">
        <f t="shared" si="26"/>
        <v>-1649.9</v>
      </c>
      <c r="I313" s="180">
        <v>0</v>
      </c>
      <c r="J313" s="180">
        <v>0</v>
      </c>
      <c r="K313" s="129"/>
    </row>
    <row r="314" spans="1:11" ht="32.25" customHeight="1">
      <c r="A314" s="28" t="s">
        <v>19</v>
      </c>
      <c r="B314" s="15" t="s">
        <v>93</v>
      </c>
      <c r="C314" s="15" t="s">
        <v>20</v>
      </c>
      <c r="D314" s="17">
        <v>1649.9</v>
      </c>
      <c r="E314" s="13">
        <f t="shared" ref="E314:E377" si="27">F314-D314</f>
        <v>-1649.9</v>
      </c>
      <c r="F314" s="17"/>
      <c r="G314" s="17">
        <v>1649.9</v>
      </c>
      <c r="H314" s="178">
        <f t="shared" si="26"/>
        <v>-1649.9</v>
      </c>
      <c r="I314" s="180">
        <v>0</v>
      </c>
      <c r="J314" s="180">
        <v>0</v>
      </c>
      <c r="K314" s="181">
        <f>I314-J314</f>
        <v>0</v>
      </c>
    </row>
    <row r="315" spans="1:11" ht="54.75" customHeight="1">
      <c r="A315" s="28" t="s">
        <v>94</v>
      </c>
      <c r="B315" s="15" t="s">
        <v>95</v>
      </c>
      <c r="C315" s="15"/>
      <c r="D315" s="17">
        <f>D317+D318</f>
        <v>2069.1999999999998</v>
      </c>
      <c r="E315" s="13">
        <f t="shared" si="27"/>
        <v>0</v>
      </c>
      <c r="F315" s="17">
        <f>F316+F317</f>
        <v>2069.1999999999998</v>
      </c>
      <c r="G315" s="17">
        <f>G317+G318</f>
        <v>2069.1999999999998</v>
      </c>
      <c r="H315" s="178">
        <f t="shared" si="26"/>
        <v>0</v>
      </c>
      <c r="I315" s="17">
        <f>I316+I317</f>
        <v>2069.1999999999998</v>
      </c>
      <c r="J315" s="169">
        <f>J316+J317</f>
        <v>2069.1999999999998</v>
      </c>
      <c r="K315" s="129"/>
    </row>
    <row r="316" spans="1:11" ht="25.5" customHeight="1">
      <c r="A316" s="28" t="s">
        <v>19</v>
      </c>
      <c r="B316" s="15" t="s">
        <v>95</v>
      </c>
      <c r="C316" s="15" t="s">
        <v>20</v>
      </c>
      <c r="D316" s="17"/>
      <c r="E316" s="13">
        <f t="shared" si="27"/>
        <v>1655.01</v>
      </c>
      <c r="F316" s="17">
        <v>1655.01</v>
      </c>
      <c r="G316" s="17"/>
      <c r="H316" s="178">
        <f t="shared" si="26"/>
        <v>1655.01</v>
      </c>
      <c r="I316" s="17">
        <v>1655.01</v>
      </c>
      <c r="J316" s="169">
        <v>1655.01</v>
      </c>
      <c r="K316" s="129" t="s">
        <v>523</v>
      </c>
    </row>
    <row r="317" spans="1:11" ht="25.5" customHeight="1">
      <c r="A317" s="28" t="s">
        <v>96</v>
      </c>
      <c r="B317" s="15" t="s">
        <v>95</v>
      </c>
      <c r="C317" s="15" t="s">
        <v>97</v>
      </c>
      <c r="D317" s="17">
        <f>540+39.5</f>
        <v>579.5</v>
      </c>
      <c r="E317" s="13">
        <f t="shared" si="27"/>
        <v>-165.31</v>
      </c>
      <c r="F317" s="17">
        <f>414.19</f>
        <v>414.19</v>
      </c>
      <c r="G317" s="17">
        <f>540+39.5</f>
        <v>579.5</v>
      </c>
      <c r="H317" s="178">
        <f t="shared" si="26"/>
        <v>-165.31</v>
      </c>
      <c r="I317" s="17">
        <f>414.19</f>
        <v>414.19</v>
      </c>
      <c r="J317" s="169">
        <f>414.19</f>
        <v>414.19</v>
      </c>
      <c r="K317" s="129" t="s">
        <v>523</v>
      </c>
    </row>
    <row r="318" spans="1:11" ht="25.5" customHeight="1">
      <c r="A318" s="28" t="s">
        <v>19</v>
      </c>
      <c r="B318" s="15" t="s">
        <v>95</v>
      </c>
      <c r="C318" s="15" t="s">
        <v>20</v>
      </c>
      <c r="D318" s="17">
        <v>1489.7</v>
      </c>
      <c r="E318" s="13">
        <f t="shared" si="27"/>
        <v>-1489.7</v>
      </c>
      <c r="F318" s="17"/>
      <c r="G318" s="17">
        <v>1489.7</v>
      </c>
      <c r="H318" s="178">
        <f t="shared" si="26"/>
        <v>-1489.7</v>
      </c>
      <c r="I318" s="180">
        <v>0</v>
      </c>
      <c r="J318" s="180">
        <v>0</v>
      </c>
      <c r="K318" s="181">
        <f>I318-J318</f>
        <v>0</v>
      </c>
    </row>
    <row r="319" spans="1:11" ht="36.75" customHeight="1">
      <c r="A319" s="28" t="s">
        <v>63</v>
      </c>
      <c r="B319" s="15" t="s">
        <v>64</v>
      </c>
      <c r="C319" s="15"/>
      <c r="D319" s="17">
        <f>D320</f>
        <v>13267.3</v>
      </c>
      <c r="E319" s="13">
        <f t="shared" si="27"/>
        <v>-13267.3</v>
      </c>
      <c r="F319" s="17"/>
      <c r="G319" s="17">
        <f>G320</f>
        <v>13267.3</v>
      </c>
      <c r="H319" s="178">
        <f t="shared" si="26"/>
        <v>-13267.3</v>
      </c>
      <c r="I319" s="180">
        <v>0</v>
      </c>
      <c r="J319" s="180">
        <v>0</v>
      </c>
    </row>
    <row r="320" spans="1:11" ht="25.5" hidden="1" customHeight="1">
      <c r="A320" s="28" t="s">
        <v>63</v>
      </c>
      <c r="B320" s="15" t="s">
        <v>64</v>
      </c>
      <c r="C320" s="15"/>
      <c r="D320" s="17">
        <f>D321+D323</f>
        <v>13267.3</v>
      </c>
      <c r="E320" s="13">
        <f t="shared" si="27"/>
        <v>-13267.3</v>
      </c>
      <c r="F320" s="17"/>
      <c r="G320" s="17">
        <f>G321+G323</f>
        <v>13267.3</v>
      </c>
      <c r="H320" s="178">
        <f t="shared" si="26"/>
        <v>-13267.3</v>
      </c>
      <c r="I320" s="180">
        <v>0</v>
      </c>
      <c r="J320" s="180">
        <v>0</v>
      </c>
    </row>
    <row r="321" spans="1:11" ht="25.5" customHeight="1">
      <c r="A321" s="28" t="s">
        <v>98</v>
      </c>
      <c r="B321" s="15" t="s">
        <v>64</v>
      </c>
      <c r="C321" s="15"/>
      <c r="D321" s="17">
        <f>D327</f>
        <v>0</v>
      </c>
      <c r="E321" s="13">
        <f t="shared" si="27"/>
        <v>0</v>
      </c>
      <c r="F321" s="17">
        <f>F322</f>
        <v>0</v>
      </c>
      <c r="G321" s="17">
        <f>G327</f>
        <v>0</v>
      </c>
      <c r="H321" s="178">
        <f t="shared" si="26"/>
        <v>0</v>
      </c>
      <c r="I321" s="17">
        <f>I322</f>
        <v>0</v>
      </c>
      <c r="J321" s="169">
        <f>J322</f>
        <v>0</v>
      </c>
      <c r="K321" s="129"/>
    </row>
    <row r="322" spans="1:11" ht="15" customHeight="1">
      <c r="A322" s="28" t="s">
        <v>65</v>
      </c>
      <c r="B322" s="15" t="s">
        <v>66</v>
      </c>
      <c r="C322" s="15"/>
      <c r="D322" s="17">
        <f>D323</f>
        <v>13267.3</v>
      </c>
      <c r="E322" s="13">
        <f t="shared" si="27"/>
        <v>-13267.3</v>
      </c>
      <c r="F322" s="17"/>
      <c r="G322" s="17">
        <f>G323</f>
        <v>13267.3</v>
      </c>
      <c r="H322" s="178">
        <f t="shared" si="26"/>
        <v>-13267.3</v>
      </c>
      <c r="I322" s="180">
        <v>0</v>
      </c>
      <c r="J322" s="180">
        <v>0</v>
      </c>
    </row>
    <row r="323" spans="1:11" ht="15" customHeight="1">
      <c r="A323" s="28" t="s">
        <v>19</v>
      </c>
      <c r="B323" s="15" t="s">
        <v>66</v>
      </c>
      <c r="C323" s="15" t="s">
        <v>20</v>
      </c>
      <c r="D323" s="17">
        <v>13267.3</v>
      </c>
      <c r="E323" s="13">
        <f t="shared" si="27"/>
        <v>-13267.3</v>
      </c>
      <c r="F323" s="17"/>
      <c r="G323" s="17">
        <v>13267.3</v>
      </c>
      <c r="H323" s="178">
        <f t="shared" si="26"/>
        <v>-13267.3</v>
      </c>
      <c r="I323" s="180">
        <v>0</v>
      </c>
      <c r="J323" s="180">
        <v>0</v>
      </c>
      <c r="K323" s="181">
        <f>I323-J323</f>
        <v>0</v>
      </c>
    </row>
    <row r="324" spans="1:11" ht="15" customHeight="1">
      <c r="A324" s="28" t="s">
        <v>76</v>
      </c>
      <c r="B324" s="15" t="s">
        <v>77</v>
      </c>
      <c r="C324" s="15"/>
      <c r="D324" s="17">
        <f>D325</f>
        <v>11723.5</v>
      </c>
      <c r="E324" s="13">
        <f t="shared" si="27"/>
        <v>-11723.5</v>
      </c>
      <c r="F324" s="17"/>
      <c r="G324" s="17">
        <f>G325</f>
        <v>11723.5</v>
      </c>
      <c r="H324" s="178">
        <f t="shared" si="26"/>
        <v>-11723.5</v>
      </c>
      <c r="I324" s="180">
        <v>0</v>
      </c>
      <c r="J324" s="180">
        <v>0</v>
      </c>
      <c r="K324" s="129"/>
    </row>
    <row r="325" spans="1:11" ht="15" customHeight="1">
      <c r="A325" s="28" t="s">
        <v>19</v>
      </c>
      <c r="B325" s="15" t="s">
        <v>77</v>
      </c>
      <c r="C325" s="15" t="s">
        <v>20</v>
      </c>
      <c r="D325" s="17">
        <f>11755.3-31.8</f>
        <v>11723.5</v>
      </c>
      <c r="E325" s="13">
        <f t="shared" si="27"/>
        <v>-11723.5</v>
      </c>
      <c r="F325" s="17"/>
      <c r="G325" s="17">
        <f>11755.3-31.8</f>
        <v>11723.5</v>
      </c>
      <c r="H325" s="178">
        <f t="shared" si="26"/>
        <v>-11723.5</v>
      </c>
      <c r="I325" s="180">
        <v>0</v>
      </c>
      <c r="J325" s="180">
        <v>0</v>
      </c>
      <c r="K325" s="181">
        <f>I325-J325</f>
        <v>0</v>
      </c>
    </row>
    <row r="326" spans="1:11" ht="20.25" customHeight="1">
      <c r="A326" s="164" t="s">
        <v>576</v>
      </c>
      <c r="B326" s="16" t="s">
        <v>494</v>
      </c>
      <c r="C326" s="15"/>
      <c r="D326" s="17"/>
      <c r="E326" s="13">
        <f t="shared" si="27"/>
        <v>287.8</v>
      </c>
      <c r="F326" s="17">
        <f>F327+F329</f>
        <v>287.8</v>
      </c>
      <c r="G326" s="17"/>
      <c r="H326" s="178">
        <f t="shared" si="26"/>
        <v>0</v>
      </c>
      <c r="I326" s="17">
        <f>I327+I329</f>
        <v>0</v>
      </c>
      <c r="J326" s="169">
        <f>J327+J329</f>
        <v>0</v>
      </c>
      <c r="K326" s="129"/>
    </row>
    <row r="327" spans="1:11" ht="18.75" customHeight="1">
      <c r="A327" s="28" t="s">
        <v>591</v>
      </c>
      <c r="B327" s="16" t="s">
        <v>592</v>
      </c>
      <c r="C327" s="15"/>
      <c r="D327" s="17"/>
      <c r="E327" s="13">
        <f t="shared" si="27"/>
        <v>187.8</v>
      </c>
      <c r="F327" s="17">
        <f>F328</f>
        <v>187.8</v>
      </c>
      <c r="G327" s="17"/>
      <c r="H327" s="178">
        <f t="shared" si="26"/>
        <v>0</v>
      </c>
      <c r="I327" s="17">
        <f>I328</f>
        <v>0</v>
      </c>
      <c r="J327" s="169">
        <f>J328</f>
        <v>0</v>
      </c>
      <c r="K327" s="129"/>
    </row>
    <row r="328" spans="1:11" ht="30" customHeight="1">
      <c r="A328" s="28" t="s">
        <v>19</v>
      </c>
      <c r="B328" s="16" t="s">
        <v>592</v>
      </c>
      <c r="C328" s="15" t="s">
        <v>20</v>
      </c>
      <c r="D328" s="17"/>
      <c r="E328" s="13">
        <f t="shared" si="27"/>
        <v>187.8</v>
      </c>
      <c r="F328" s="17">
        <v>187.8</v>
      </c>
      <c r="G328" s="17"/>
      <c r="H328" s="178">
        <f t="shared" si="26"/>
        <v>0</v>
      </c>
      <c r="I328" s="179">
        <v>0</v>
      </c>
      <c r="J328" s="169"/>
      <c r="K328" s="181">
        <f>I328-J328</f>
        <v>0</v>
      </c>
    </row>
    <row r="329" spans="1:11" ht="39.75" customHeight="1">
      <c r="A329" s="28" t="s">
        <v>582</v>
      </c>
      <c r="B329" s="16" t="s">
        <v>593</v>
      </c>
      <c r="C329" s="15"/>
      <c r="D329" s="17"/>
      <c r="E329" s="13">
        <f t="shared" si="27"/>
        <v>100</v>
      </c>
      <c r="F329" s="17">
        <f>F330</f>
        <v>100</v>
      </c>
      <c r="G329" s="17"/>
      <c r="H329" s="178">
        <f t="shared" si="26"/>
        <v>0</v>
      </c>
      <c r="I329" s="17">
        <f>I330</f>
        <v>0</v>
      </c>
      <c r="J329" s="169">
        <f>J330</f>
        <v>0</v>
      </c>
      <c r="K329" s="129"/>
    </row>
    <row r="330" spans="1:11" ht="21.75" customHeight="1">
      <c r="A330" s="28" t="s">
        <v>101</v>
      </c>
      <c r="B330" s="16" t="s">
        <v>593</v>
      </c>
      <c r="C330" s="15" t="s">
        <v>102</v>
      </c>
      <c r="D330" s="17"/>
      <c r="E330" s="13">
        <f t="shared" si="27"/>
        <v>100</v>
      </c>
      <c r="F330" s="17">
        <v>100</v>
      </c>
      <c r="G330" s="17"/>
      <c r="H330" s="178">
        <f t="shared" ref="H330:H393" si="28">I330-G330</f>
        <v>0</v>
      </c>
      <c r="I330" s="179">
        <v>0</v>
      </c>
      <c r="J330" s="169"/>
      <c r="K330" s="181">
        <f>I330-J330</f>
        <v>0</v>
      </c>
    </row>
    <row r="331" spans="1:11" ht="25.5" customHeight="1">
      <c r="A331" s="28" t="s">
        <v>78</v>
      </c>
      <c r="B331" s="15" t="s">
        <v>79</v>
      </c>
      <c r="C331" s="15"/>
      <c r="D331" s="17">
        <f>D332</f>
        <v>4905.2000000000007</v>
      </c>
      <c r="E331" s="13">
        <f t="shared" si="27"/>
        <v>-4905.2000000000007</v>
      </c>
      <c r="F331" s="17"/>
      <c r="G331" s="17">
        <f>G332</f>
        <v>4905.2000000000007</v>
      </c>
      <c r="H331" s="178">
        <f t="shared" si="28"/>
        <v>-4905.2000000000007</v>
      </c>
      <c r="I331" s="180">
        <v>0</v>
      </c>
      <c r="J331" s="180">
        <v>0</v>
      </c>
      <c r="K331" s="129"/>
    </row>
    <row r="332" spans="1:11" ht="15" customHeight="1">
      <c r="A332" s="28" t="s">
        <v>19</v>
      </c>
      <c r="B332" s="15" t="s">
        <v>79</v>
      </c>
      <c r="C332" s="15" t="s">
        <v>20</v>
      </c>
      <c r="D332" s="17">
        <f>4856.1+49.1</f>
        <v>4905.2000000000007</v>
      </c>
      <c r="E332" s="13">
        <f t="shared" si="27"/>
        <v>-4905.2000000000007</v>
      </c>
      <c r="F332" s="17"/>
      <c r="G332" s="17">
        <f>4856.1+49.1</f>
        <v>4905.2000000000007</v>
      </c>
      <c r="H332" s="178">
        <f t="shared" si="28"/>
        <v>-4905.2000000000007</v>
      </c>
      <c r="I332" s="180">
        <v>0</v>
      </c>
      <c r="J332" s="180">
        <v>0</v>
      </c>
      <c r="K332" s="181">
        <f>I332-J332</f>
        <v>0</v>
      </c>
    </row>
    <row r="333" spans="1:11" ht="15" customHeight="1">
      <c r="A333" s="28" t="s">
        <v>240</v>
      </c>
      <c r="B333" s="15" t="s">
        <v>99</v>
      </c>
      <c r="C333" s="15"/>
      <c r="D333" s="17"/>
      <c r="E333" s="13">
        <f t="shared" si="27"/>
        <v>0</v>
      </c>
      <c r="F333" s="17">
        <f>F334</f>
        <v>0</v>
      </c>
      <c r="G333" s="17"/>
      <c r="H333" s="178">
        <f t="shared" si="28"/>
        <v>0</v>
      </c>
      <c r="I333" s="17">
        <f>I334</f>
        <v>0</v>
      </c>
      <c r="J333" s="169">
        <f>J334</f>
        <v>0</v>
      </c>
      <c r="K333" s="129"/>
    </row>
    <row r="334" spans="1:11" ht="24.75" customHeight="1">
      <c r="A334" s="28" t="s">
        <v>98</v>
      </c>
      <c r="B334" s="15" t="s">
        <v>99</v>
      </c>
      <c r="C334" s="7"/>
      <c r="D334" s="17">
        <f>D335</f>
        <v>0</v>
      </c>
      <c r="E334" s="13">
        <f t="shared" si="27"/>
        <v>0</v>
      </c>
      <c r="F334" s="17"/>
      <c r="G334" s="17">
        <f>G335</f>
        <v>0</v>
      </c>
      <c r="H334" s="178">
        <f t="shared" si="28"/>
        <v>0</v>
      </c>
      <c r="I334" s="180">
        <v>0</v>
      </c>
      <c r="J334" s="180">
        <v>0</v>
      </c>
      <c r="K334" s="129"/>
    </row>
    <row r="335" spans="1:11" ht="17.25" customHeight="1">
      <c r="A335" s="28" t="s">
        <v>576</v>
      </c>
      <c r="B335" s="16" t="s">
        <v>535</v>
      </c>
      <c r="C335" s="15"/>
      <c r="D335" s="17"/>
      <c r="E335" s="13">
        <f t="shared" si="27"/>
        <v>1000</v>
      </c>
      <c r="F335" s="17">
        <f>F336</f>
        <v>1000</v>
      </c>
      <c r="G335" s="17"/>
      <c r="H335" s="178">
        <f t="shared" si="28"/>
        <v>0</v>
      </c>
      <c r="I335" s="17">
        <f>I336</f>
        <v>0</v>
      </c>
      <c r="J335" s="169">
        <f>J336</f>
        <v>0</v>
      </c>
      <c r="K335" s="129"/>
    </row>
    <row r="336" spans="1:11" ht="15" customHeight="1">
      <c r="A336" s="28" t="s">
        <v>591</v>
      </c>
      <c r="B336" s="16" t="s">
        <v>589</v>
      </c>
      <c r="C336" s="15"/>
      <c r="D336" s="17"/>
      <c r="E336" s="13">
        <f t="shared" si="27"/>
        <v>1000</v>
      </c>
      <c r="F336" s="17">
        <f>F337</f>
        <v>1000</v>
      </c>
      <c r="G336" s="17"/>
      <c r="H336" s="178">
        <f t="shared" si="28"/>
        <v>0</v>
      </c>
      <c r="I336" s="17">
        <f>I337</f>
        <v>0</v>
      </c>
      <c r="J336" s="169">
        <f>J337</f>
        <v>0</v>
      </c>
      <c r="K336" s="129"/>
    </row>
    <row r="337" spans="1:14" ht="15" customHeight="1">
      <c r="A337" s="14" t="s">
        <v>19</v>
      </c>
      <c r="B337" s="16" t="s">
        <v>589</v>
      </c>
      <c r="C337" s="15" t="s">
        <v>20</v>
      </c>
      <c r="D337" s="17"/>
      <c r="E337" s="13">
        <f t="shared" si="27"/>
        <v>1000</v>
      </c>
      <c r="F337" s="17">
        <v>1000</v>
      </c>
      <c r="G337" s="17"/>
      <c r="H337" s="178">
        <f t="shared" si="28"/>
        <v>0</v>
      </c>
      <c r="I337" s="179">
        <v>0</v>
      </c>
      <c r="J337" s="169"/>
      <c r="K337" s="181">
        <f>I337-J337</f>
        <v>0</v>
      </c>
    </row>
    <row r="338" spans="1:14" s="53" customFormat="1" ht="22.5" customHeight="1">
      <c r="A338" s="28" t="s">
        <v>229</v>
      </c>
      <c r="B338" s="15" t="s">
        <v>230</v>
      </c>
      <c r="C338" s="15"/>
      <c r="D338" s="17">
        <f>D339</f>
        <v>100</v>
      </c>
      <c r="E338" s="13">
        <f t="shared" si="27"/>
        <v>-100</v>
      </c>
      <c r="F338" s="17"/>
      <c r="G338" s="17">
        <f>G339</f>
        <v>100</v>
      </c>
      <c r="H338" s="178">
        <f t="shared" si="28"/>
        <v>-100</v>
      </c>
      <c r="I338" s="180">
        <v>0</v>
      </c>
      <c r="J338" s="180">
        <v>0</v>
      </c>
      <c r="K338" s="129"/>
      <c r="L338" s="1"/>
      <c r="M338" s="1"/>
      <c r="N338" s="1"/>
    </row>
    <row r="339" spans="1:14" ht="25.5" customHeight="1">
      <c r="A339" s="28" t="s">
        <v>19</v>
      </c>
      <c r="B339" s="15" t="s">
        <v>230</v>
      </c>
      <c r="C339" s="15" t="s">
        <v>20</v>
      </c>
      <c r="D339" s="17">
        <v>100</v>
      </c>
      <c r="E339" s="13">
        <f t="shared" si="27"/>
        <v>-100</v>
      </c>
      <c r="F339" s="17"/>
      <c r="G339" s="17">
        <v>100</v>
      </c>
      <c r="H339" s="178">
        <f t="shared" si="28"/>
        <v>-100</v>
      </c>
      <c r="I339" s="180">
        <v>0</v>
      </c>
      <c r="J339" s="180">
        <v>0</v>
      </c>
      <c r="K339" s="181">
        <f>I339-J339</f>
        <v>0</v>
      </c>
    </row>
    <row r="340" spans="1:14" ht="25.5" customHeight="1">
      <c r="A340" s="28" t="s">
        <v>274</v>
      </c>
      <c r="B340" s="15" t="s">
        <v>100</v>
      </c>
      <c r="C340" s="15"/>
      <c r="D340" s="17">
        <f>D341</f>
        <v>100</v>
      </c>
      <c r="E340" s="13">
        <f t="shared" si="27"/>
        <v>-100</v>
      </c>
      <c r="F340" s="17"/>
      <c r="G340" s="17">
        <f>G341</f>
        <v>100</v>
      </c>
      <c r="H340" s="178">
        <f t="shared" si="28"/>
        <v>-100</v>
      </c>
      <c r="I340" s="180">
        <v>0</v>
      </c>
      <c r="J340" s="180">
        <v>0</v>
      </c>
      <c r="K340" s="129"/>
    </row>
    <row r="341" spans="1:14" ht="21" customHeight="1">
      <c r="A341" s="28" t="s">
        <v>101</v>
      </c>
      <c r="B341" s="15" t="s">
        <v>100</v>
      </c>
      <c r="C341" s="15" t="s">
        <v>102</v>
      </c>
      <c r="D341" s="17">
        <v>100</v>
      </c>
      <c r="E341" s="13">
        <f t="shared" si="27"/>
        <v>-100</v>
      </c>
      <c r="F341" s="17"/>
      <c r="G341" s="17">
        <v>100</v>
      </c>
      <c r="H341" s="178">
        <f t="shared" si="28"/>
        <v>-100</v>
      </c>
      <c r="I341" s="180">
        <v>0</v>
      </c>
      <c r="J341" s="180">
        <v>0</v>
      </c>
      <c r="K341" s="181">
        <f>I341-J341</f>
        <v>0</v>
      </c>
    </row>
    <row r="342" spans="1:14" ht="15" customHeight="1">
      <c r="A342" s="14" t="s">
        <v>404</v>
      </c>
      <c r="B342" s="15" t="s">
        <v>405</v>
      </c>
      <c r="C342" s="15"/>
      <c r="D342" s="17">
        <f>D343</f>
        <v>3262.7999999999997</v>
      </c>
      <c r="E342" s="13">
        <f t="shared" si="27"/>
        <v>-916.13000000000011</v>
      </c>
      <c r="F342" s="17">
        <f>F343</f>
        <v>2346.6699999999996</v>
      </c>
      <c r="G342" s="17">
        <f>G343</f>
        <v>4318.8</v>
      </c>
      <c r="H342" s="178">
        <f t="shared" si="28"/>
        <v>-1257.79</v>
      </c>
      <c r="I342" s="17">
        <f>I343</f>
        <v>3061.01</v>
      </c>
      <c r="J342" s="169">
        <f>J343</f>
        <v>3468.9900000000002</v>
      </c>
      <c r="K342" s="129"/>
    </row>
    <row r="343" spans="1:14" ht="15" customHeight="1">
      <c r="A343" s="14" t="s">
        <v>406</v>
      </c>
      <c r="B343" s="15" t="s">
        <v>407</v>
      </c>
      <c r="C343" s="15"/>
      <c r="D343" s="17">
        <f>D344</f>
        <v>3262.7999999999997</v>
      </c>
      <c r="E343" s="13">
        <f t="shared" si="27"/>
        <v>-916.13000000000011</v>
      </c>
      <c r="F343" s="17">
        <f>F344</f>
        <v>2346.6699999999996</v>
      </c>
      <c r="G343" s="17">
        <f>G344</f>
        <v>4318.8</v>
      </c>
      <c r="H343" s="178">
        <f t="shared" si="28"/>
        <v>-1257.79</v>
      </c>
      <c r="I343" s="17">
        <f>I344</f>
        <v>3061.01</v>
      </c>
      <c r="J343" s="169">
        <f>J344</f>
        <v>3468.9900000000002</v>
      </c>
      <c r="K343" s="129"/>
    </row>
    <row r="344" spans="1:14" ht="27.75" customHeight="1">
      <c r="A344" s="14" t="s">
        <v>139</v>
      </c>
      <c r="B344" s="15" t="s">
        <v>407</v>
      </c>
      <c r="C344" s="15" t="s">
        <v>140</v>
      </c>
      <c r="D344" s="17">
        <f>3230.2+32.6</f>
        <v>3262.7999999999997</v>
      </c>
      <c r="E344" s="13">
        <f t="shared" si="27"/>
        <v>-916.13000000000011</v>
      </c>
      <c r="F344" s="17">
        <f>2323.2+23.47</f>
        <v>2346.6699999999996</v>
      </c>
      <c r="G344" s="17">
        <f>4275.6+43.2</f>
        <v>4318.8</v>
      </c>
      <c r="H344" s="178">
        <f t="shared" si="28"/>
        <v>-1257.79</v>
      </c>
      <c r="I344" s="179">
        <f>3030.4+30.61</f>
        <v>3061.01</v>
      </c>
      <c r="J344" s="180">
        <f>3434.3+34.69</f>
        <v>3468.9900000000002</v>
      </c>
      <c r="K344" s="129" t="s">
        <v>524</v>
      </c>
      <c r="L344" s="1">
        <f>2323.2/99</f>
        <v>23.466666666666665</v>
      </c>
      <c r="M344" s="1">
        <f>3030.4/99</f>
        <v>30.610101010101012</v>
      </c>
      <c r="N344" s="1">
        <f>3434.3/99</f>
        <v>34.689898989898992</v>
      </c>
    </row>
    <row r="345" spans="1:14" ht="25.5" customHeight="1">
      <c r="A345" s="28" t="s">
        <v>529</v>
      </c>
      <c r="B345" s="15" t="s">
        <v>527</v>
      </c>
      <c r="C345" s="15"/>
      <c r="D345" s="17"/>
      <c r="E345" s="13">
        <f t="shared" si="27"/>
        <v>11266.2</v>
      </c>
      <c r="F345" s="17">
        <f>F346</f>
        <v>11266.2</v>
      </c>
      <c r="G345" s="17"/>
      <c r="H345" s="178">
        <f t="shared" si="28"/>
        <v>0</v>
      </c>
      <c r="I345" s="17">
        <f>I346</f>
        <v>0</v>
      </c>
      <c r="J345" s="169">
        <f>J346</f>
        <v>0</v>
      </c>
      <c r="K345" s="129"/>
    </row>
    <row r="346" spans="1:14" ht="25.5" customHeight="1">
      <c r="A346" s="28" t="s">
        <v>19</v>
      </c>
      <c r="B346" s="15" t="s">
        <v>527</v>
      </c>
      <c r="C346" s="15" t="s">
        <v>20</v>
      </c>
      <c r="D346" s="17"/>
      <c r="E346" s="13">
        <f t="shared" si="27"/>
        <v>11266.2</v>
      </c>
      <c r="F346" s="17">
        <v>11266.2</v>
      </c>
      <c r="G346" s="17"/>
      <c r="H346" s="178">
        <f t="shared" si="28"/>
        <v>0</v>
      </c>
      <c r="I346" s="180">
        <v>0</v>
      </c>
      <c r="J346" s="180">
        <v>0</v>
      </c>
      <c r="K346" s="129" t="s">
        <v>528</v>
      </c>
    </row>
    <row r="347" spans="1:14" ht="25.5" customHeight="1">
      <c r="A347" s="30" t="s">
        <v>260</v>
      </c>
      <c r="B347" s="15" t="s">
        <v>259</v>
      </c>
      <c r="C347" s="7"/>
      <c r="D347" s="13">
        <f>D348+D372</f>
        <v>38509.019999999997</v>
      </c>
      <c r="E347" s="13">
        <f t="shared" si="27"/>
        <v>2859.1899999999951</v>
      </c>
      <c r="F347" s="13">
        <f>F348+F373</f>
        <v>41368.209999999992</v>
      </c>
      <c r="G347" s="13">
        <f>G348+G372</f>
        <v>38512.86</v>
      </c>
      <c r="H347" s="178">
        <f t="shared" si="28"/>
        <v>2023.25</v>
      </c>
      <c r="I347" s="13">
        <f>I348+I373</f>
        <v>40536.11</v>
      </c>
      <c r="J347" s="168">
        <f>J348+J373</f>
        <v>40536.11</v>
      </c>
    </row>
    <row r="348" spans="1:14" ht="25.5" hidden="1" customHeight="1">
      <c r="A348" s="30" t="s">
        <v>260</v>
      </c>
      <c r="B348" s="15" t="s">
        <v>259</v>
      </c>
      <c r="C348" s="54"/>
      <c r="D348" s="17">
        <f>D349</f>
        <v>35674.619999999995</v>
      </c>
      <c r="E348" s="13">
        <f t="shared" si="27"/>
        <v>5333.3899999999994</v>
      </c>
      <c r="F348" s="17">
        <f t="shared" ref="F348:G350" si="29">F349</f>
        <v>41008.009999999995</v>
      </c>
      <c r="G348" s="17">
        <f t="shared" si="29"/>
        <v>35678.46</v>
      </c>
      <c r="H348" s="178">
        <f t="shared" si="28"/>
        <v>4496.4400000000023</v>
      </c>
      <c r="I348" s="17">
        <f t="shared" ref="I348:J350" si="30">I349</f>
        <v>40174.9</v>
      </c>
      <c r="J348" s="169">
        <f t="shared" si="30"/>
        <v>40174.9</v>
      </c>
      <c r="K348" s="129"/>
      <c r="L348" s="47"/>
      <c r="M348" s="47"/>
      <c r="N348" s="47"/>
    </row>
    <row r="349" spans="1:14" ht="15" hidden="1" customHeight="1">
      <c r="A349" s="30" t="s">
        <v>260</v>
      </c>
      <c r="B349" s="15" t="s">
        <v>259</v>
      </c>
      <c r="C349" s="15"/>
      <c r="D349" s="17">
        <f>D350</f>
        <v>35674.619999999995</v>
      </c>
      <c r="E349" s="13">
        <f t="shared" si="27"/>
        <v>5333.3899999999994</v>
      </c>
      <c r="F349" s="17">
        <f t="shared" si="29"/>
        <v>41008.009999999995</v>
      </c>
      <c r="G349" s="17">
        <f t="shared" si="29"/>
        <v>35678.46</v>
      </c>
      <c r="H349" s="178">
        <f t="shared" si="28"/>
        <v>4496.4400000000023</v>
      </c>
      <c r="I349" s="17">
        <f t="shared" si="30"/>
        <v>40174.9</v>
      </c>
      <c r="J349" s="169">
        <f t="shared" si="30"/>
        <v>40174.9</v>
      </c>
      <c r="K349" s="129"/>
    </row>
    <row r="350" spans="1:14" ht="21.75" hidden="1" customHeight="1">
      <c r="A350" s="30" t="s">
        <v>260</v>
      </c>
      <c r="B350" s="15" t="s">
        <v>259</v>
      </c>
      <c r="C350" s="15"/>
      <c r="D350" s="17">
        <f>D351</f>
        <v>35674.619999999995</v>
      </c>
      <c r="E350" s="13">
        <f t="shared" si="27"/>
        <v>5333.3899999999994</v>
      </c>
      <c r="F350" s="17">
        <f t="shared" si="29"/>
        <v>41008.009999999995</v>
      </c>
      <c r="G350" s="17">
        <f t="shared" si="29"/>
        <v>35678.46</v>
      </c>
      <c r="H350" s="178">
        <f t="shared" si="28"/>
        <v>4496.4400000000023</v>
      </c>
      <c r="I350" s="17">
        <f t="shared" si="30"/>
        <v>40174.9</v>
      </c>
      <c r="J350" s="169">
        <f t="shared" si="30"/>
        <v>40174.9</v>
      </c>
      <c r="K350" s="129"/>
    </row>
    <row r="351" spans="1:14" ht="15" customHeight="1">
      <c r="A351" s="30" t="s">
        <v>26</v>
      </c>
      <c r="B351" s="7" t="s">
        <v>343</v>
      </c>
      <c r="C351" s="7"/>
      <c r="D351" s="13">
        <f>D352+D373</f>
        <v>35674.619999999995</v>
      </c>
      <c r="E351" s="13">
        <f t="shared" si="27"/>
        <v>5333.3899999999994</v>
      </c>
      <c r="F351" s="13">
        <f>F352+F373</f>
        <v>41008.009999999995</v>
      </c>
      <c r="G351" s="13">
        <f>G352+G373</f>
        <v>35678.46</v>
      </c>
      <c r="H351" s="178">
        <f t="shared" si="28"/>
        <v>4496.4400000000023</v>
      </c>
      <c r="I351" s="13">
        <f>I352+I373</f>
        <v>40174.9</v>
      </c>
      <c r="J351" s="168">
        <f>J352+J373</f>
        <v>40174.9</v>
      </c>
    </row>
    <row r="352" spans="1:14" ht="28.5" customHeight="1">
      <c r="A352" s="161" t="s">
        <v>490</v>
      </c>
      <c r="B352" s="7" t="s">
        <v>344</v>
      </c>
      <c r="C352" s="7"/>
      <c r="D352" s="13">
        <f>D362+D365+D371</f>
        <v>34615.53</v>
      </c>
      <c r="E352" s="13">
        <f t="shared" si="27"/>
        <v>6032.2799999999988</v>
      </c>
      <c r="F352" s="13">
        <f>F353+F360</f>
        <v>40647.81</v>
      </c>
      <c r="G352" s="13">
        <f>G362+G365+G371</f>
        <v>34615.53</v>
      </c>
      <c r="H352" s="178">
        <f t="shared" si="28"/>
        <v>5198.1600000000035</v>
      </c>
      <c r="I352" s="13">
        <f>I353+I360</f>
        <v>39813.69</v>
      </c>
      <c r="J352" s="168">
        <f>J353+J360</f>
        <v>39813.69</v>
      </c>
    </row>
    <row r="353" spans="1:14" ht="25.5" customHeight="1">
      <c r="A353" s="28" t="s">
        <v>540</v>
      </c>
      <c r="B353" s="7" t="s">
        <v>537</v>
      </c>
      <c r="C353" s="7"/>
      <c r="D353" s="13"/>
      <c r="E353" s="13">
        <f t="shared" si="27"/>
        <v>38395.17</v>
      </c>
      <c r="F353" s="13">
        <f>F354+F355+F356+F357+F358+F359</f>
        <v>38395.17</v>
      </c>
      <c r="G353" s="13"/>
      <c r="H353" s="178">
        <f t="shared" si="28"/>
        <v>37561.050000000003</v>
      </c>
      <c r="I353" s="13">
        <f>I354+I355+I356+I357+I358+I359</f>
        <v>37561.050000000003</v>
      </c>
      <c r="J353" s="168">
        <f>J354+J355+J356+J357+J358+J359</f>
        <v>37561.050000000003</v>
      </c>
    </row>
    <row r="354" spans="1:14" ht="25.5" customHeight="1">
      <c r="A354" s="161" t="s">
        <v>489</v>
      </c>
      <c r="B354" s="7" t="s">
        <v>537</v>
      </c>
      <c r="C354" s="7" t="s">
        <v>11</v>
      </c>
      <c r="D354" s="13"/>
      <c r="E354" s="13">
        <f t="shared" si="27"/>
        <v>28314.09</v>
      </c>
      <c r="F354" s="13">
        <v>28314.09</v>
      </c>
      <c r="G354" s="13"/>
      <c r="H354" s="178">
        <f t="shared" si="28"/>
        <v>28314.09</v>
      </c>
      <c r="I354" s="13">
        <v>28314.09</v>
      </c>
      <c r="J354" s="168">
        <v>28314.09</v>
      </c>
      <c r="K354" s="181">
        <f t="shared" ref="K354:K359" si="31">I354-J354</f>
        <v>0</v>
      </c>
    </row>
    <row r="355" spans="1:14" ht="25.5" customHeight="1">
      <c r="A355" s="32" t="s">
        <v>15</v>
      </c>
      <c r="B355" s="7" t="s">
        <v>537</v>
      </c>
      <c r="C355" s="7" t="s">
        <v>16</v>
      </c>
      <c r="D355" s="13"/>
      <c r="E355" s="13">
        <f t="shared" si="27"/>
        <v>344.28</v>
      </c>
      <c r="F355" s="13">
        <v>344.28</v>
      </c>
      <c r="G355" s="13"/>
      <c r="H355" s="178">
        <f t="shared" si="28"/>
        <v>344.28</v>
      </c>
      <c r="I355" s="13">
        <v>344.28</v>
      </c>
      <c r="J355" s="168">
        <v>344.28</v>
      </c>
      <c r="K355" s="181">
        <f t="shared" si="31"/>
        <v>0</v>
      </c>
    </row>
    <row r="356" spans="1:14" ht="25.5" customHeight="1">
      <c r="A356" s="28" t="s">
        <v>12</v>
      </c>
      <c r="B356" s="7" t="s">
        <v>537</v>
      </c>
      <c r="C356" s="7" t="s">
        <v>13</v>
      </c>
      <c r="D356" s="13"/>
      <c r="E356" s="13">
        <f t="shared" si="27"/>
        <v>8550.85</v>
      </c>
      <c r="F356" s="13">
        <v>8550.85</v>
      </c>
      <c r="G356" s="13"/>
      <c r="H356" s="178">
        <f t="shared" si="28"/>
        <v>8550.85</v>
      </c>
      <c r="I356" s="13">
        <v>8550.85</v>
      </c>
      <c r="J356" s="168">
        <v>8550.85</v>
      </c>
      <c r="K356" s="181">
        <f t="shared" si="31"/>
        <v>0</v>
      </c>
    </row>
    <row r="357" spans="1:14" ht="15" customHeight="1">
      <c r="A357" s="28" t="s">
        <v>19</v>
      </c>
      <c r="B357" s="7" t="s">
        <v>537</v>
      </c>
      <c r="C357" s="7" t="s">
        <v>20</v>
      </c>
      <c r="D357" s="13"/>
      <c r="E357" s="13">
        <f t="shared" si="27"/>
        <v>834.11999999999671</v>
      </c>
      <c r="F357" s="13">
        <f>40647.81-37209.22-351.83-2252.64</f>
        <v>834.11999999999671</v>
      </c>
      <c r="G357" s="13"/>
      <c r="H357" s="178">
        <f t="shared" si="28"/>
        <v>0</v>
      </c>
      <c r="I357" s="179">
        <v>0</v>
      </c>
      <c r="J357" s="168"/>
      <c r="K357" s="181">
        <f t="shared" si="31"/>
        <v>0</v>
      </c>
    </row>
    <row r="358" spans="1:14" s="47" customFormat="1" ht="38.25" customHeight="1">
      <c r="A358" s="28" t="s">
        <v>30</v>
      </c>
      <c r="B358" s="7" t="s">
        <v>537</v>
      </c>
      <c r="C358" s="7" t="s">
        <v>31</v>
      </c>
      <c r="D358" s="13"/>
      <c r="E358" s="13">
        <f t="shared" si="27"/>
        <v>343.33</v>
      </c>
      <c r="F358" s="13">
        <f>351.83-8.5</f>
        <v>343.33</v>
      </c>
      <c r="G358" s="13"/>
      <c r="H358" s="178">
        <f t="shared" si="28"/>
        <v>343.33</v>
      </c>
      <c r="I358" s="13">
        <f>351.83-8.5</f>
        <v>343.33</v>
      </c>
      <c r="J358" s="168">
        <f>351.83-8.5</f>
        <v>343.33</v>
      </c>
      <c r="K358" s="181">
        <f t="shared" si="31"/>
        <v>0</v>
      </c>
      <c r="L358" s="1"/>
      <c r="M358" s="1"/>
      <c r="N358" s="1"/>
    </row>
    <row r="359" spans="1:14" s="47" customFormat="1" ht="15" customHeight="1">
      <c r="A359" s="28" t="s">
        <v>32</v>
      </c>
      <c r="B359" s="7" t="s">
        <v>537</v>
      </c>
      <c r="C359" s="7" t="s">
        <v>33</v>
      </c>
      <c r="D359" s="13"/>
      <c r="E359" s="13">
        <f t="shared" si="27"/>
        <v>8.5</v>
      </c>
      <c r="F359" s="13">
        <v>8.5</v>
      </c>
      <c r="G359" s="13"/>
      <c r="H359" s="178">
        <f t="shared" si="28"/>
        <v>8.5</v>
      </c>
      <c r="I359" s="13">
        <v>8.5</v>
      </c>
      <c r="J359" s="168">
        <v>8.5</v>
      </c>
      <c r="K359" s="181">
        <f t="shared" si="31"/>
        <v>0</v>
      </c>
      <c r="L359" s="1"/>
      <c r="M359" s="1"/>
      <c r="N359" s="1"/>
    </row>
    <row r="360" spans="1:14" ht="25.5" customHeight="1">
      <c r="A360" s="14" t="s">
        <v>261</v>
      </c>
      <c r="B360" s="7" t="s">
        <v>493</v>
      </c>
      <c r="C360" s="7"/>
      <c r="D360" s="13"/>
      <c r="E360" s="13">
        <f t="shared" si="27"/>
        <v>2252.64</v>
      </c>
      <c r="F360" s="13">
        <f>F361</f>
        <v>2252.64</v>
      </c>
      <c r="G360" s="13"/>
      <c r="H360" s="178">
        <f t="shared" si="28"/>
        <v>2252.64</v>
      </c>
      <c r="I360" s="13">
        <f>I361</f>
        <v>2252.64</v>
      </c>
      <c r="J360" s="168">
        <f>J361</f>
        <v>2252.64</v>
      </c>
    </row>
    <row r="361" spans="1:14" ht="39" customHeight="1">
      <c r="A361" s="28" t="s">
        <v>19</v>
      </c>
      <c r="B361" s="7" t="s">
        <v>493</v>
      </c>
      <c r="C361" s="7" t="s">
        <v>20</v>
      </c>
      <c r="D361" s="13"/>
      <c r="E361" s="13">
        <f t="shared" si="27"/>
        <v>2252.64</v>
      </c>
      <c r="F361" s="13">
        <v>2252.64</v>
      </c>
      <c r="G361" s="13"/>
      <c r="H361" s="178">
        <f t="shared" si="28"/>
        <v>2252.64</v>
      </c>
      <c r="I361" s="13">
        <v>2252.64</v>
      </c>
      <c r="J361" s="168">
        <v>2252.64</v>
      </c>
      <c r="K361" s="181">
        <f>I361-J361</f>
        <v>0</v>
      </c>
    </row>
    <row r="362" spans="1:14" ht="25.5" customHeight="1">
      <c r="A362" s="28" t="s">
        <v>28</v>
      </c>
      <c r="B362" s="7" t="s">
        <v>345</v>
      </c>
      <c r="C362" s="7"/>
      <c r="D362" s="13">
        <f>D363+D364</f>
        <v>30089</v>
      </c>
      <c r="E362" s="13">
        <f t="shared" si="27"/>
        <v>-30089</v>
      </c>
      <c r="F362" s="13">
        <f>F363+F364</f>
        <v>0</v>
      </c>
      <c r="G362" s="13">
        <f>G363+G364</f>
        <v>30089</v>
      </c>
      <c r="H362" s="178">
        <f t="shared" si="28"/>
        <v>-30089</v>
      </c>
      <c r="I362" s="180">
        <v>0</v>
      </c>
      <c r="J362" s="180">
        <v>0</v>
      </c>
    </row>
    <row r="363" spans="1:14" s="47" customFormat="1" ht="23.25" customHeight="1">
      <c r="A363" s="28" t="s">
        <v>10</v>
      </c>
      <c r="B363" s="7" t="s">
        <v>345</v>
      </c>
      <c r="C363" s="15" t="s">
        <v>11</v>
      </c>
      <c r="D363" s="13">
        <v>23336.1</v>
      </c>
      <c r="E363" s="13">
        <f t="shared" si="27"/>
        <v>-23336.1</v>
      </c>
      <c r="F363" s="13">
        <v>0</v>
      </c>
      <c r="G363" s="13">
        <v>23336.1</v>
      </c>
      <c r="H363" s="178">
        <f t="shared" si="28"/>
        <v>-23336.1</v>
      </c>
      <c r="I363" s="180">
        <v>0</v>
      </c>
      <c r="J363" s="180">
        <v>0</v>
      </c>
      <c r="K363" s="181">
        <f>I363-J363</f>
        <v>0</v>
      </c>
      <c r="L363" s="1"/>
      <c r="M363" s="1"/>
      <c r="N363" s="1"/>
    </row>
    <row r="364" spans="1:14" s="47" customFormat="1" ht="15" customHeight="1">
      <c r="A364" s="28" t="s">
        <v>12</v>
      </c>
      <c r="B364" s="7" t="s">
        <v>345</v>
      </c>
      <c r="C364" s="15" t="s">
        <v>13</v>
      </c>
      <c r="D364" s="13">
        <v>6752.9</v>
      </c>
      <c r="E364" s="13">
        <f t="shared" si="27"/>
        <v>-6752.9</v>
      </c>
      <c r="F364" s="13">
        <v>0</v>
      </c>
      <c r="G364" s="13">
        <v>6752.9</v>
      </c>
      <c r="H364" s="178">
        <f t="shared" si="28"/>
        <v>-6752.9</v>
      </c>
      <c r="I364" s="180">
        <v>0</v>
      </c>
      <c r="J364" s="180">
        <v>0</v>
      </c>
      <c r="K364" s="181">
        <f>I364-J364</f>
        <v>0</v>
      </c>
      <c r="L364" s="1"/>
      <c r="M364" s="1"/>
      <c r="N364" s="1"/>
    </row>
    <row r="365" spans="1:14" ht="18" customHeight="1">
      <c r="A365" s="28" t="s">
        <v>29</v>
      </c>
      <c r="B365" s="7" t="s">
        <v>346</v>
      </c>
      <c r="C365" s="7"/>
      <c r="D365" s="13">
        <f>SUM(D366:D370)</f>
        <v>1692.1299999999999</v>
      </c>
      <c r="E365" s="13">
        <f t="shared" si="27"/>
        <v>-1692.1299999999999</v>
      </c>
      <c r="F365" s="13">
        <v>0</v>
      </c>
      <c r="G365" s="13">
        <f>SUM(G366:G370)</f>
        <v>1692.1299999999999</v>
      </c>
      <c r="H365" s="178">
        <f t="shared" si="28"/>
        <v>-1692.1299999999999</v>
      </c>
      <c r="I365" s="180">
        <v>0</v>
      </c>
      <c r="J365" s="180">
        <v>0</v>
      </c>
    </row>
    <row r="366" spans="1:14" ht="15" customHeight="1">
      <c r="A366" s="32" t="s">
        <v>15</v>
      </c>
      <c r="B366" s="7" t="s">
        <v>346</v>
      </c>
      <c r="C366" s="15" t="s">
        <v>16</v>
      </c>
      <c r="D366" s="13"/>
      <c r="E366" s="13">
        <f t="shared" si="27"/>
        <v>0</v>
      </c>
      <c r="F366" s="13">
        <v>0</v>
      </c>
      <c r="G366" s="13"/>
      <c r="H366" s="178">
        <f t="shared" si="28"/>
        <v>0</v>
      </c>
      <c r="I366" s="180">
        <v>0</v>
      </c>
      <c r="J366" s="180">
        <v>0</v>
      </c>
      <c r="K366" s="181">
        <f>I366-J366</f>
        <v>0</v>
      </c>
    </row>
    <row r="367" spans="1:14" ht="31.5" customHeight="1">
      <c r="A367" s="28" t="s">
        <v>19</v>
      </c>
      <c r="B367" s="7" t="s">
        <v>346</v>
      </c>
      <c r="C367" s="15" t="s">
        <v>20</v>
      </c>
      <c r="D367" s="13">
        <f>117.12+244+72.26+83.5+420+292.1</f>
        <v>1228.98</v>
      </c>
      <c r="E367" s="13">
        <f t="shared" si="27"/>
        <v>-1228.98</v>
      </c>
      <c r="F367" s="13">
        <v>0</v>
      </c>
      <c r="G367" s="13">
        <f>117.12+244+72.26+83.5+420+292.1</f>
        <v>1228.98</v>
      </c>
      <c r="H367" s="178">
        <f t="shared" si="28"/>
        <v>-1228.98</v>
      </c>
      <c r="I367" s="180">
        <v>0</v>
      </c>
      <c r="J367" s="180">
        <v>0</v>
      </c>
      <c r="K367" s="181">
        <f>I367-J367</f>
        <v>0</v>
      </c>
    </row>
    <row r="368" spans="1:14" ht="15" customHeight="1">
      <c r="A368" s="28" t="s">
        <v>30</v>
      </c>
      <c r="B368" s="7" t="s">
        <v>346</v>
      </c>
      <c r="C368" s="15" t="s">
        <v>31</v>
      </c>
      <c r="D368" s="13">
        <f>451.56+5.29</f>
        <v>456.85</v>
      </c>
      <c r="E368" s="13">
        <f t="shared" si="27"/>
        <v>-456.85</v>
      </c>
      <c r="F368" s="13">
        <v>0</v>
      </c>
      <c r="G368" s="13">
        <f>451.56+5.29</f>
        <v>456.85</v>
      </c>
      <c r="H368" s="178">
        <f t="shared" si="28"/>
        <v>-456.85</v>
      </c>
      <c r="I368" s="180">
        <v>0</v>
      </c>
      <c r="J368" s="180">
        <v>0</v>
      </c>
      <c r="K368" s="181">
        <f>I368-J368</f>
        <v>0</v>
      </c>
    </row>
    <row r="369" spans="1:14" ht="28.5" customHeight="1">
      <c r="A369" s="28" t="s">
        <v>32</v>
      </c>
      <c r="B369" s="7" t="s">
        <v>346</v>
      </c>
      <c r="C369" s="15" t="s">
        <v>33</v>
      </c>
      <c r="D369" s="13">
        <f>5.8</f>
        <v>5.8</v>
      </c>
      <c r="E369" s="13">
        <f t="shared" si="27"/>
        <v>-5.8</v>
      </c>
      <c r="F369" s="13">
        <v>0</v>
      </c>
      <c r="G369" s="13">
        <f>5.8</f>
        <v>5.8</v>
      </c>
      <c r="H369" s="178">
        <f t="shared" si="28"/>
        <v>-5.8</v>
      </c>
      <c r="I369" s="180">
        <v>0</v>
      </c>
      <c r="J369" s="180">
        <v>0</v>
      </c>
      <c r="K369" s="181">
        <f>I369-J369</f>
        <v>0</v>
      </c>
    </row>
    <row r="370" spans="1:14" ht="23.25" customHeight="1">
      <c r="A370" s="28" t="s">
        <v>21</v>
      </c>
      <c r="B370" s="7" t="s">
        <v>346</v>
      </c>
      <c r="C370" s="15" t="s">
        <v>22</v>
      </c>
      <c r="D370" s="13">
        <v>0.5</v>
      </c>
      <c r="E370" s="13">
        <f t="shared" si="27"/>
        <v>-0.5</v>
      </c>
      <c r="F370" s="13">
        <v>0</v>
      </c>
      <c r="G370" s="13">
        <v>0.5</v>
      </c>
      <c r="H370" s="178">
        <f t="shared" si="28"/>
        <v>-0.5</v>
      </c>
      <c r="I370" s="180">
        <v>0</v>
      </c>
      <c r="J370" s="180">
        <v>0</v>
      </c>
      <c r="K370" s="181">
        <f>I370-J370</f>
        <v>0</v>
      </c>
    </row>
    <row r="371" spans="1:14" ht="28.5" customHeight="1">
      <c r="A371" s="14" t="s">
        <v>261</v>
      </c>
      <c r="B371" s="39" t="s">
        <v>347</v>
      </c>
      <c r="C371" s="40"/>
      <c r="D371" s="13">
        <f>D372</f>
        <v>2834.4</v>
      </c>
      <c r="E371" s="13">
        <f t="shared" si="27"/>
        <v>-2834.4</v>
      </c>
      <c r="F371" s="13">
        <v>0</v>
      </c>
      <c r="G371" s="13">
        <f>G372</f>
        <v>2834.4</v>
      </c>
      <c r="H371" s="178">
        <f t="shared" si="28"/>
        <v>-2834.4</v>
      </c>
      <c r="I371" s="180">
        <v>0</v>
      </c>
      <c r="J371" s="180">
        <v>0</v>
      </c>
    </row>
    <row r="372" spans="1:14" ht="42.75" customHeight="1">
      <c r="A372" s="14" t="s">
        <v>19</v>
      </c>
      <c r="B372" s="39" t="s">
        <v>347</v>
      </c>
      <c r="C372" s="15" t="s">
        <v>20</v>
      </c>
      <c r="D372" s="13">
        <v>2834.4</v>
      </c>
      <c r="E372" s="13">
        <f t="shared" si="27"/>
        <v>-2834.4</v>
      </c>
      <c r="F372" s="13">
        <v>0</v>
      </c>
      <c r="G372" s="13">
        <v>2834.4</v>
      </c>
      <c r="H372" s="178">
        <f t="shared" si="28"/>
        <v>-2834.4</v>
      </c>
      <c r="I372" s="180">
        <v>0</v>
      </c>
      <c r="J372" s="180">
        <v>0</v>
      </c>
      <c r="K372" s="181">
        <f>I372-J372</f>
        <v>0</v>
      </c>
    </row>
    <row r="373" spans="1:14" ht="28.5" customHeight="1">
      <c r="A373" s="14" t="s">
        <v>398</v>
      </c>
      <c r="B373" s="39" t="s">
        <v>399</v>
      </c>
      <c r="C373" s="15"/>
      <c r="D373" s="13">
        <f>D374</f>
        <v>1059.0899999999999</v>
      </c>
      <c r="E373" s="13">
        <f t="shared" si="27"/>
        <v>-698.88999999999987</v>
      </c>
      <c r="F373" s="13">
        <f>F374</f>
        <v>360.20000000000005</v>
      </c>
      <c r="G373" s="13">
        <f>G374</f>
        <v>1062.93</v>
      </c>
      <c r="H373" s="178">
        <f t="shared" si="28"/>
        <v>-701.72</v>
      </c>
      <c r="I373" s="13">
        <f>I374</f>
        <v>361.21000000000004</v>
      </c>
      <c r="J373" s="168">
        <f>J374</f>
        <v>361.21000000000004</v>
      </c>
    </row>
    <row r="374" spans="1:14" ht="15" customHeight="1">
      <c r="A374" s="14" t="s">
        <v>19</v>
      </c>
      <c r="B374" s="39" t="s">
        <v>399</v>
      </c>
      <c r="C374" s="15" t="s">
        <v>20</v>
      </c>
      <c r="D374" s="13">
        <f>1048.5+10.59</f>
        <v>1059.0899999999999</v>
      </c>
      <c r="E374" s="13">
        <f t="shared" si="27"/>
        <v>-698.88999999999987</v>
      </c>
      <c r="F374" s="13">
        <f>356.6+3.6</f>
        <v>360.20000000000005</v>
      </c>
      <c r="G374" s="13">
        <f>1052.3+10.63</f>
        <v>1062.93</v>
      </c>
      <c r="H374" s="178">
        <f t="shared" si="28"/>
        <v>-701.72</v>
      </c>
      <c r="I374" s="179">
        <f>357.6+3.61</f>
        <v>361.21000000000004</v>
      </c>
      <c r="J374" s="180">
        <f>357.6+3.61</f>
        <v>361.21000000000004</v>
      </c>
      <c r="K374" s="129" t="s">
        <v>524</v>
      </c>
      <c r="L374" s="1">
        <f>356.6/99</f>
        <v>3.6020202020202023</v>
      </c>
      <c r="M374" s="1">
        <f>357.6/99</f>
        <v>3.6121212121212123</v>
      </c>
      <c r="N374" s="1">
        <f>357.6/99</f>
        <v>3.6121212121212123</v>
      </c>
    </row>
    <row r="375" spans="1:14" ht="27.75" customHeight="1">
      <c r="A375" s="30" t="s">
        <v>215</v>
      </c>
      <c r="B375" s="7" t="s">
        <v>348</v>
      </c>
      <c r="C375" s="7"/>
      <c r="D375" s="13">
        <f>D376+D391+D389</f>
        <v>16841.71</v>
      </c>
      <c r="E375" s="13">
        <f t="shared" si="27"/>
        <v>-1599.1200000000008</v>
      </c>
      <c r="F375" s="13">
        <f>F376</f>
        <v>15242.589999999998</v>
      </c>
      <c r="G375" s="13">
        <f>G376+G391+G389</f>
        <v>16841.71</v>
      </c>
      <c r="H375" s="178">
        <f t="shared" si="28"/>
        <v>-2352.880000000001</v>
      </c>
      <c r="I375" s="13">
        <f t="shared" ref="I375:J377" si="32">I376</f>
        <v>14488.829999999998</v>
      </c>
      <c r="J375" s="168">
        <f t="shared" si="32"/>
        <v>14488.829999999998</v>
      </c>
    </row>
    <row r="376" spans="1:14" ht="30.75" hidden="1" customHeight="1">
      <c r="A376" s="28" t="s">
        <v>215</v>
      </c>
      <c r="B376" s="16" t="s">
        <v>348</v>
      </c>
      <c r="C376" s="15"/>
      <c r="D376" s="17">
        <f>D377</f>
        <v>14844.710000000001</v>
      </c>
      <c r="E376" s="13">
        <f t="shared" si="27"/>
        <v>397.87999999999738</v>
      </c>
      <c r="F376" s="17">
        <f>F377</f>
        <v>15242.589999999998</v>
      </c>
      <c r="G376" s="17">
        <f>G377</f>
        <v>14844.710000000001</v>
      </c>
      <c r="H376" s="178">
        <f t="shared" si="28"/>
        <v>-355.88000000000284</v>
      </c>
      <c r="I376" s="17">
        <f t="shared" si="32"/>
        <v>14488.829999999998</v>
      </c>
      <c r="J376" s="169">
        <f t="shared" si="32"/>
        <v>14488.829999999998</v>
      </c>
      <c r="K376" s="129"/>
    </row>
    <row r="377" spans="1:14" ht="25.5" customHeight="1">
      <c r="A377" s="161" t="s">
        <v>34</v>
      </c>
      <c r="B377" s="7" t="s">
        <v>349</v>
      </c>
      <c r="C377" s="7"/>
      <c r="D377" s="13">
        <f>D384+D387</f>
        <v>14844.710000000001</v>
      </c>
      <c r="E377" s="13">
        <f t="shared" si="27"/>
        <v>397.87999999999738</v>
      </c>
      <c r="F377" s="13">
        <f>F378</f>
        <v>15242.589999999998</v>
      </c>
      <c r="G377" s="13">
        <f>G384+G387</f>
        <v>14844.710000000001</v>
      </c>
      <c r="H377" s="178">
        <f t="shared" si="28"/>
        <v>-355.88000000000284</v>
      </c>
      <c r="I377" s="13">
        <f t="shared" si="32"/>
        <v>14488.829999999998</v>
      </c>
      <c r="J377" s="168">
        <f t="shared" si="32"/>
        <v>14488.829999999998</v>
      </c>
    </row>
    <row r="378" spans="1:14" ht="31.5" customHeight="1">
      <c r="A378" s="161" t="s">
        <v>539</v>
      </c>
      <c r="B378" s="7" t="s">
        <v>538</v>
      </c>
      <c r="C378" s="7"/>
      <c r="D378" s="13"/>
      <c r="E378" s="13">
        <f t="shared" ref="E378:E441" si="33">F378-D378</f>
        <v>15242.589999999998</v>
      </c>
      <c r="F378" s="13">
        <f>F379+F380+F381+F382+F383</f>
        <v>15242.589999999998</v>
      </c>
      <c r="G378" s="13"/>
      <c r="H378" s="178">
        <f t="shared" si="28"/>
        <v>14488.829999999998</v>
      </c>
      <c r="I378" s="13">
        <f>I379+I380+I381+I382+I383</f>
        <v>14488.829999999998</v>
      </c>
      <c r="J378" s="168">
        <f>J379+J380+J381+J382+J383</f>
        <v>14488.829999999998</v>
      </c>
    </row>
    <row r="379" spans="1:14" ht="38.25" customHeight="1">
      <c r="A379" s="161" t="s">
        <v>489</v>
      </c>
      <c r="B379" s="7" t="s">
        <v>538</v>
      </c>
      <c r="C379" s="7" t="s">
        <v>11</v>
      </c>
      <c r="D379" s="13"/>
      <c r="E379" s="13">
        <f t="shared" si="33"/>
        <v>11028.96</v>
      </c>
      <c r="F379" s="13">
        <v>11028.96</v>
      </c>
      <c r="G379" s="13"/>
      <c r="H379" s="178">
        <f t="shared" si="28"/>
        <v>11028.96</v>
      </c>
      <c r="I379" s="13">
        <v>11028.96</v>
      </c>
      <c r="J379" s="168">
        <v>11028.96</v>
      </c>
      <c r="K379" s="181">
        <f>I379-J379</f>
        <v>0</v>
      </c>
    </row>
    <row r="380" spans="1:14" ht="25.5" customHeight="1">
      <c r="A380" s="32" t="s">
        <v>15</v>
      </c>
      <c r="B380" s="7" t="s">
        <v>538</v>
      </c>
      <c r="C380" s="7" t="s">
        <v>16</v>
      </c>
      <c r="D380" s="13"/>
      <c r="E380" s="13">
        <f t="shared" si="33"/>
        <v>128.80000000000001</v>
      </c>
      <c r="F380" s="13">
        <v>128.80000000000001</v>
      </c>
      <c r="G380" s="13"/>
      <c r="H380" s="178">
        <f t="shared" si="28"/>
        <v>128.80000000000001</v>
      </c>
      <c r="I380" s="13">
        <v>128.80000000000001</v>
      </c>
      <c r="J380" s="168">
        <v>128.80000000000001</v>
      </c>
      <c r="K380" s="181">
        <f>I380-J380</f>
        <v>0</v>
      </c>
    </row>
    <row r="381" spans="1:14" ht="25.5" customHeight="1">
      <c r="A381" s="28" t="s">
        <v>12</v>
      </c>
      <c r="B381" s="7" t="s">
        <v>538</v>
      </c>
      <c r="C381" s="7" t="s">
        <v>13</v>
      </c>
      <c r="D381" s="13"/>
      <c r="E381" s="13">
        <f t="shared" si="33"/>
        <v>3330.75</v>
      </c>
      <c r="F381" s="13">
        <v>3330.75</v>
      </c>
      <c r="G381" s="13"/>
      <c r="H381" s="178">
        <f t="shared" si="28"/>
        <v>3330.75</v>
      </c>
      <c r="I381" s="13">
        <v>3330.75</v>
      </c>
      <c r="J381" s="168">
        <v>3330.75</v>
      </c>
      <c r="K381" s="181">
        <f>I381-J381</f>
        <v>0</v>
      </c>
    </row>
    <row r="382" spans="1:14" ht="25.5" customHeight="1">
      <c r="A382" s="28" t="s">
        <v>19</v>
      </c>
      <c r="B382" s="7" t="s">
        <v>538</v>
      </c>
      <c r="C382" s="7" t="s">
        <v>20</v>
      </c>
      <c r="D382" s="13"/>
      <c r="E382" s="13">
        <f t="shared" si="33"/>
        <v>753.75999999999988</v>
      </c>
      <c r="F382" s="13">
        <f>15242.59-14488.51-0.32</f>
        <v>753.75999999999988</v>
      </c>
      <c r="G382" s="13"/>
      <c r="H382" s="178">
        <f t="shared" si="28"/>
        <v>0</v>
      </c>
      <c r="I382" s="179">
        <v>0</v>
      </c>
      <c r="J382" s="168"/>
      <c r="K382" s="181">
        <f>I382-J382</f>
        <v>0</v>
      </c>
    </row>
    <row r="383" spans="1:14" ht="20.25" customHeight="1">
      <c r="A383" s="28" t="s">
        <v>32</v>
      </c>
      <c r="B383" s="7" t="s">
        <v>538</v>
      </c>
      <c r="C383" s="7" t="s">
        <v>33</v>
      </c>
      <c r="D383" s="13"/>
      <c r="E383" s="13">
        <f t="shared" si="33"/>
        <v>0.32</v>
      </c>
      <c r="F383" s="13">
        <v>0.32</v>
      </c>
      <c r="G383" s="13"/>
      <c r="H383" s="178">
        <f t="shared" si="28"/>
        <v>0.32</v>
      </c>
      <c r="I383" s="13">
        <v>0.32</v>
      </c>
      <c r="J383" s="168">
        <v>0.32</v>
      </c>
      <c r="K383" s="181">
        <f>I383-J383</f>
        <v>0</v>
      </c>
    </row>
    <row r="384" spans="1:14" ht="25.5" customHeight="1">
      <c r="A384" s="28" t="s">
        <v>35</v>
      </c>
      <c r="B384" s="7" t="s">
        <v>350</v>
      </c>
      <c r="C384" s="7"/>
      <c r="D384" s="13">
        <f>SUM(D385:D386)</f>
        <v>13929.710000000001</v>
      </c>
      <c r="E384" s="13">
        <f t="shared" si="33"/>
        <v>-13929.710000000001</v>
      </c>
      <c r="F384" s="13"/>
      <c r="G384" s="13">
        <f>SUM(G385:G386)</f>
        <v>13929.710000000001</v>
      </c>
      <c r="H384" s="178">
        <f t="shared" si="28"/>
        <v>-13929.710000000001</v>
      </c>
      <c r="I384" s="180">
        <v>0</v>
      </c>
      <c r="J384" s="180">
        <v>0</v>
      </c>
    </row>
    <row r="385" spans="1:14" ht="15" customHeight="1">
      <c r="A385" s="28" t="s">
        <v>10</v>
      </c>
      <c r="B385" s="7" t="s">
        <v>350</v>
      </c>
      <c r="C385" s="15" t="s">
        <v>11</v>
      </c>
      <c r="D385" s="13">
        <v>10887.28</v>
      </c>
      <c r="E385" s="13">
        <f t="shared" si="33"/>
        <v>-10887.28</v>
      </c>
      <c r="F385" s="13"/>
      <c r="G385" s="13">
        <v>10887.28</v>
      </c>
      <c r="H385" s="178">
        <f t="shared" si="28"/>
        <v>-10887.28</v>
      </c>
      <c r="I385" s="180">
        <v>0</v>
      </c>
      <c r="J385" s="180">
        <v>0</v>
      </c>
      <c r="K385" s="181">
        <f>I385-J385</f>
        <v>0</v>
      </c>
    </row>
    <row r="386" spans="1:14" ht="15" customHeight="1">
      <c r="A386" s="28" t="s">
        <v>12</v>
      </c>
      <c r="B386" s="7" t="s">
        <v>350</v>
      </c>
      <c r="C386" s="15" t="s">
        <v>13</v>
      </c>
      <c r="D386" s="13">
        <v>3042.43</v>
      </c>
      <c r="E386" s="13">
        <f t="shared" si="33"/>
        <v>-3042.43</v>
      </c>
      <c r="F386" s="13"/>
      <c r="G386" s="13">
        <v>3042.43</v>
      </c>
      <c r="H386" s="178">
        <f t="shared" si="28"/>
        <v>-3042.43</v>
      </c>
      <c r="I386" s="180">
        <v>0</v>
      </c>
      <c r="J386" s="180">
        <v>0</v>
      </c>
      <c r="K386" s="181">
        <f>I386-J386</f>
        <v>0</v>
      </c>
    </row>
    <row r="387" spans="1:14" ht="32.25" customHeight="1">
      <c r="A387" s="28" t="s">
        <v>263</v>
      </c>
      <c r="B387" s="7" t="s">
        <v>351</v>
      </c>
      <c r="C387" s="7"/>
      <c r="D387" s="13">
        <f>SUM(D388:D389)</f>
        <v>915</v>
      </c>
      <c r="E387" s="13">
        <f t="shared" si="33"/>
        <v>-915</v>
      </c>
      <c r="F387" s="13"/>
      <c r="G387" s="13">
        <f>SUM(G388:G389)</f>
        <v>915</v>
      </c>
      <c r="H387" s="178">
        <f t="shared" si="28"/>
        <v>-915</v>
      </c>
      <c r="I387" s="180">
        <v>0</v>
      </c>
      <c r="J387" s="180">
        <v>0</v>
      </c>
    </row>
    <row r="388" spans="1:14" ht="25.5" customHeight="1">
      <c r="A388" s="32" t="s">
        <v>15</v>
      </c>
      <c r="B388" s="7" t="s">
        <v>351</v>
      </c>
      <c r="C388" s="15" t="s">
        <v>16</v>
      </c>
      <c r="D388" s="13"/>
      <c r="E388" s="13">
        <f t="shared" si="33"/>
        <v>0</v>
      </c>
      <c r="F388" s="13"/>
      <c r="G388" s="13"/>
      <c r="H388" s="178">
        <f t="shared" si="28"/>
        <v>0</v>
      </c>
      <c r="I388" s="180">
        <v>0</v>
      </c>
      <c r="J388" s="180">
        <v>0</v>
      </c>
      <c r="K388" s="181">
        <f>I388-J388</f>
        <v>0</v>
      </c>
    </row>
    <row r="389" spans="1:14" ht="38.25" customHeight="1">
      <c r="A389" s="28" t="s">
        <v>19</v>
      </c>
      <c r="B389" s="7" t="s">
        <v>351</v>
      </c>
      <c r="C389" s="15" t="s">
        <v>20</v>
      </c>
      <c r="D389" s="13">
        <f>500+316.4+55+43.6</f>
        <v>915</v>
      </c>
      <c r="E389" s="13">
        <f t="shared" si="33"/>
        <v>-915</v>
      </c>
      <c r="F389" s="13"/>
      <c r="G389" s="13">
        <f>500+316.4+55+43.6</f>
        <v>915</v>
      </c>
      <c r="H389" s="178">
        <f t="shared" si="28"/>
        <v>-915</v>
      </c>
      <c r="I389" s="180">
        <v>0</v>
      </c>
      <c r="J389" s="180">
        <v>0</v>
      </c>
      <c r="K389" s="181">
        <f>I389-J389</f>
        <v>0</v>
      </c>
    </row>
    <row r="390" spans="1:14" ht="25.5" customHeight="1">
      <c r="A390" s="28" t="s">
        <v>216</v>
      </c>
      <c r="B390" s="16" t="s">
        <v>364</v>
      </c>
      <c r="C390" s="15"/>
      <c r="D390" s="17">
        <f>SUBTOTAL(9,D391:D394)</f>
        <v>1433.6000000000001</v>
      </c>
      <c r="E390" s="13">
        <f t="shared" si="33"/>
        <v>323.79999999999995</v>
      </c>
      <c r="F390" s="17">
        <f>SUM(F391:F394)</f>
        <v>1757.4</v>
      </c>
      <c r="G390" s="17">
        <f>SUBTOTAL(9,G391:G394)</f>
        <v>1433.6000000000001</v>
      </c>
      <c r="H390" s="178">
        <f t="shared" si="28"/>
        <v>323.79999999999995</v>
      </c>
      <c r="I390" s="17">
        <f>SUM(I391:I394)</f>
        <v>1757.4</v>
      </c>
      <c r="J390" s="169">
        <f>SUM(J391:J394)</f>
        <v>1757.4</v>
      </c>
      <c r="K390" s="129"/>
    </row>
    <row r="391" spans="1:14" ht="25.5" customHeight="1">
      <c r="A391" s="28" t="s">
        <v>104</v>
      </c>
      <c r="B391" s="16" t="s">
        <v>364</v>
      </c>
      <c r="C391" s="4" t="s">
        <v>42</v>
      </c>
      <c r="D391" s="17">
        <v>1082</v>
      </c>
      <c r="E391" s="13">
        <f t="shared" si="33"/>
        <v>46.309999999999945</v>
      </c>
      <c r="F391" s="17">
        <v>1128.31</v>
      </c>
      <c r="G391" s="17">
        <v>1082</v>
      </c>
      <c r="H391" s="178">
        <f t="shared" si="28"/>
        <v>46.309999999999945</v>
      </c>
      <c r="I391" s="17">
        <v>1128.31</v>
      </c>
      <c r="J391" s="169">
        <v>1128.31</v>
      </c>
      <c r="K391" s="129" t="s">
        <v>523</v>
      </c>
    </row>
    <row r="392" spans="1:14" ht="38.25" customHeight="1">
      <c r="A392" s="28" t="s">
        <v>46</v>
      </c>
      <c r="B392" s="16" t="s">
        <v>364</v>
      </c>
      <c r="C392" s="15" t="s">
        <v>47</v>
      </c>
      <c r="D392" s="17">
        <v>3</v>
      </c>
      <c r="E392" s="13">
        <f t="shared" si="33"/>
        <v>19</v>
      </c>
      <c r="F392" s="17">
        <v>22</v>
      </c>
      <c r="G392" s="17">
        <v>3</v>
      </c>
      <c r="H392" s="178">
        <f t="shared" si="28"/>
        <v>19</v>
      </c>
      <c r="I392" s="17">
        <v>22</v>
      </c>
      <c r="J392" s="169">
        <v>22</v>
      </c>
      <c r="K392" s="129" t="s">
        <v>523</v>
      </c>
    </row>
    <row r="393" spans="1:14" ht="18" customHeight="1">
      <c r="A393" s="28" t="s">
        <v>43</v>
      </c>
      <c r="B393" s="16" t="s">
        <v>364</v>
      </c>
      <c r="C393" s="15" t="s">
        <v>44</v>
      </c>
      <c r="D393" s="17">
        <v>326.89999999999998</v>
      </c>
      <c r="E393" s="13">
        <f t="shared" si="33"/>
        <v>13.850000000000023</v>
      </c>
      <c r="F393" s="17">
        <v>340.75</v>
      </c>
      <c r="G393" s="17">
        <v>326.89999999999998</v>
      </c>
      <c r="H393" s="178">
        <f t="shared" si="28"/>
        <v>13.850000000000023</v>
      </c>
      <c r="I393" s="17">
        <v>340.75</v>
      </c>
      <c r="J393" s="169">
        <v>340.75</v>
      </c>
      <c r="K393" s="129" t="s">
        <v>523</v>
      </c>
    </row>
    <row r="394" spans="1:14" ht="40.5" customHeight="1">
      <c r="A394" s="28" t="s">
        <v>19</v>
      </c>
      <c r="B394" s="16" t="s">
        <v>364</v>
      </c>
      <c r="C394" s="15" t="s">
        <v>20</v>
      </c>
      <c r="D394" s="17">
        <f>110.7-89</f>
        <v>21.700000000000003</v>
      </c>
      <c r="E394" s="13">
        <f t="shared" si="33"/>
        <v>244.64000000000016</v>
      </c>
      <c r="F394" s="17">
        <f>1757.4-1128.31-22-340.75</f>
        <v>266.34000000000015</v>
      </c>
      <c r="G394" s="17">
        <f>110.7-89</f>
        <v>21.700000000000003</v>
      </c>
      <c r="H394" s="178">
        <f t="shared" ref="H394:H457" si="34">I394-G394</f>
        <v>244.64000000000016</v>
      </c>
      <c r="I394" s="17">
        <f>1757.4-1128.31-22-340.75</f>
        <v>266.34000000000015</v>
      </c>
      <c r="J394" s="169">
        <f>1757.4-1128.31-22-340.75</f>
        <v>266.34000000000015</v>
      </c>
      <c r="K394" s="129" t="s">
        <v>523</v>
      </c>
    </row>
    <row r="395" spans="1:14" s="47" customFormat="1" ht="38.25" customHeight="1">
      <c r="A395" s="28" t="s">
        <v>466</v>
      </c>
      <c r="B395" s="7" t="s">
        <v>465</v>
      </c>
      <c r="C395" s="15"/>
      <c r="D395" s="13">
        <f>D396</f>
        <v>0.4</v>
      </c>
      <c r="E395" s="13">
        <f t="shared" si="33"/>
        <v>-0.4</v>
      </c>
      <c r="F395" s="13"/>
      <c r="G395" s="13">
        <f>G396</f>
        <v>0.4</v>
      </c>
      <c r="H395" s="178">
        <f t="shared" si="34"/>
        <v>-0.4</v>
      </c>
      <c r="I395" s="180">
        <v>0</v>
      </c>
      <c r="J395" s="180">
        <v>0</v>
      </c>
      <c r="K395" s="1"/>
      <c r="L395" s="1"/>
      <c r="M395" s="1"/>
      <c r="N395" s="1"/>
    </row>
    <row r="396" spans="1:14" s="47" customFormat="1" ht="15" customHeight="1">
      <c r="A396" s="28" t="s">
        <v>19</v>
      </c>
      <c r="B396" s="7" t="s">
        <v>465</v>
      </c>
      <c r="C396" s="15" t="s">
        <v>20</v>
      </c>
      <c r="D396" s="13">
        <f>0.4</f>
        <v>0.4</v>
      </c>
      <c r="E396" s="13">
        <f t="shared" si="33"/>
        <v>-0.4</v>
      </c>
      <c r="F396" s="13"/>
      <c r="G396" s="13">
        <f>0.4</f>
        <v>0.4</v>
      </c>
      <c r="H396" s="178">
        <f t="shared" si="34"/>
        <v>-0.4</v>
      </c>
      <c r="I396" s="180">
        <v>0</v>
      </c>
      <c r="J396" s="180">
        <v>0</v>
      </c>
      <c r="K396" s="181">
        <f>I396-J396</f>
        <v>0</v>
      </c>
      <c r="L396" s="1"/>
      <c r="M396" s="1"/>
      <c r="N396" s="1"/>
    </row>
    <row r="397" spans="1:14" s="47" customFormat="1" ht="38.25" customHeight="1">
      <c r="A397" s="28" t="s">
        <v>400</v>
      </c>
      <c r="B397" s="7" t="s">
        <v>401</v>
      </c>
      <c r="C397" s="15"/>
      <c r="D397" s="13">
        <f>D398</f>
        <v>13.13</v>
      </c>
      <c r="E397" s="13">
        <f t="shared" si="33"/>
        <v>-13.13</v>
      </c>
      <c r="F397" s="13"/>
      <c r="G397" s="13">
        <f>G398</f>
        <v>13.13</v>
      </c>
      <c r="H397" s="178">
        <f t="shared" si="34"/>
        <v>-13.13</v>
      </c>
      <c r="I397" s="180">
        <v>0</v>
      </c>
      <c r="J397" s="180">
        <v>0</v>
      </c>
      <c r="K397" s="1"/>
      <c r="L397" s="1"/>
      <c r="M397" s="1"/>
      <c r="N397" s="1"/>
    </row>
    <row r="398" spans="1:14" ht="15" customHeight="1">
      <c r="A398" s="28" t="s">
        <v>19</v>
      </c>
      <c r="B398" s="7" t="s">
        <v>401</v>
      </c>
      <c r="C398" s="15" t="s">
        <v>20</v>
      </c>
      <c r="D398" s="13">
        <f>13+0.13</f>
        <v>13.13</v>
      </c>
      <c r="E398" s="13">
        <f t="shared" si="33"/>
        <v>-13.13</v>
      </c>
      <c r="F398" s="13"/>
      <c r="G398" s="13">
        <f>13+0.13</f>
        <v>13.13</v>
      </c>
      <c r="H398" s="178">
        <f t="shared" si="34"/>
        <v>-13.13</v>
      </c>
      <c r="I398" s="180">
        <v>0</v>
      </c>
      <c r="J398" s="180">
        <v>0</v>
      </c>
      <c r="K398" s="181">
        <f>I398-J398</f>
        <v>0</v>
      </c>
    </row>
    <row r="399" spans="1:14" ht="25.5" customHeight="1">
      <c r="A399" s="30" t="s">
        <v>36</v>
      </c>
      <c r="B399" s="7" t="s">
        <v>378</v>
      </c>
      <c r="C399" s="7"/>
      <c r="D399" s="13">
        <f>D400</f>
        <v>3084.38</v>
      </c>
      <c r="E399" s="13">
        <f t="shared" si="33"/>
        <v>212</v>
      </c>
      <c r="F399" s="13">
        <f>F400</f>
        <v>3296.38</v>
      </c>
      <c r="G399" s="13">
        <f>G400</f>
        <v>3084.38</v>
      </c>
      <c r="H399" s="178">
        <f t="shared" si="34"/>
        <v>130.86000000000013</v>
      </c>
      <c r="I399" s="13">
        <f>I400</f>
        <v>3215.2400000000002</v>
      </c>
      <c r="J399" s="168">
        <f>J400</f>
        <v>3215.2400000000002</v>
      </c>
      <c r="K399" s="129"/>
    </row>
    <row r="400" spans="1:14" ht="25.5" customHeight="1">
      <c r="A400" s="28" t="s">
        <v>37</v>
      </c>
      <c r="B400" s="7" t="s">
        <v>379</v>
      </c>
      <c r="C400" s="7"/>
      <c r="D400" s="13">
        <f>D407+D410</f>
        <v>3084.38</v>
      </c>
      <c r="E400" s="13">
        <f t="shared" si="33"/>
        <v>212</v>
      </c>
      <c r="F400" s="13">
        <f>F401</f>
        <v>3296.38</v>
      </c>
      <c r="G400" s="13">
        <f>G407+G410</f>
        <v>3084.38</v>
      </c>
      <c r="H400" s="178">
        <f t="shared" si="34"/>
        <v>130.86000000000013</v>
      </c>
      <c r="I400" s="13">
        <f>I401</f>
        <v>3215.2400000000002</v>
      </c>
      <c r="J400" s="168">
        <f>J401</f>
        <v>3215.2400000000002</v>
      </c>
      <c r="K400" s="129"/>
    </row>
    <row r="401" spans="1:14" s="47" customFormat="1" ht="38.25" customHeight="1">
      <c r="A401" s="30" t="s">
        <v>572</v>
      </c>
      <c r="B401" s="7" t="s">
        <v>571</v>
      </c>
      <c r="C401" s="7"/>
      <c r="D401" s="13"/>
      <c r="E401" s="13">
        <f t="shared" si="33"/>
        <v>3296.38</v>
      </c>
      <c r="F401" s="13">
        <f>SUM(F402:F406)</f>
        <v>3296.38</v>
      </c>
      <c r="G401" s="13"/>
      <c r="H401" s="178">
        <f t="shared" si="34"/>
        <v>3215.2400000000002</v>
      </c>
      <c r="I401" s="13">
        <f>SUM(I402:I406)</f>
        <v>3215.2400000000002</v>
      </c>
      <c r="J401" s="168">
        <f>SUM(J402:J406)</f>
        <v>3215.2400000000002</v>
      </c>
      <c r="K401" s="129"/>
      <c r="L401" s="1"/>
      <c r="M401" s="1"/>
      <c r="N401" s="1"/>
    </row>
    <row r="402" spans="1:14" s="47" customFormat="1" ht="29.25" customHeight="1">
      <c r="A402" s="28" t="s">
        <v>10</v>
      </c>
      <c r="B402" s="7" t="s">
        <v>571</v>
      </c>
      <c r="C402" s="15" t="s">
        <v>11</v>
      </c>
      <c r="D402" s="13"/>
      <c r="E402" s="13">
        <f t="shared" si="33"/>
        <v>2417.7600000000002</v>
      </c>
      <c r="F402" s="13">
        <v>2417.7600000000002</v>
      </c>
      <c r="G402" s="13"/>
      <c r="H402" s="178">
        <f t="shared" si="34"/>
        <v>2417.7600000000002</v>
      </c>
      <c r="I402" s="13">
        <v>2417.7600000000002</v>
      </c>
      <c r="J402" s="168">
        <v>2417.7600000000002</v>
      </c>
      <c r="K402" s="181">
        <f>I402-J402</f>
        <v>0</v>
      </c>
      <c r="L402" s="1"/>
      <c r="M402" s="1"/>
      <c r="N402" s="1"/>
    </row>
    <row r="403" spans="1:14" s="47" customFormat="1" ht="30" customHeight="1">
      <c r="A403" s="32" t="s">
        <v>15</v>
      </c>
      <c r="B403" s="7" t="s">
        <v>571</v>
      </c>
      <c r="C403" s="15" t="s">
        <v>16</v>
      </c>
      <c r="D403" s="13"/>
      <c r="E403" s="13">
        <f t="shared" si="33"/>
        <v>67</v>
      </c>
      <c r="F403" s="13">
        <v>67</v>
      </c>
      <c r="G403" s="13"/>
      <c r="H403" s="178">
        <f t="shared" si="34"/>
        <v>67</v>
      </c>
      <c r="I403" s="13">
        <v>67</v>
      </c>
      <c r="J403" s="168">
        <v>67</v>
      </c>
      <c r="K403" s="181">
        <f>I403-J403</f>
        <v>0</v>
      </c>
      <c r="L403" s="1"/>
      <c r="M403" s="1"/>
      <c r="N403" s="1"/>
    </row>
    <row r="404" spans="1:14" s="47" customFormat="1" ht="37.5" customHeight="1">
      <c r="A404" s="28" t="s">
        <v>12</v>
      </c>
      <c r="B404" s="7" t="s">
        <v>571</v>
      </c>
      <c r="C404" s="15" t="s">
        <v>13</v>
      </c>
      <c r="D404" s="13"/>
      <c r="E404" s="13">
        <f t="shared" si="33"/>
        <v>730.16</v>
      </c>
      <c r="F404" s="13">
        <v>730.16</v>
      </c>
      <c r="G404" s="13"/>
      <c r="H404" s="178">
        <f t="shared" si="34"/>
        <v>730.16</v>
      </c>
      <c r="I404" s="13">
        <v>730.16</v>
      </c>
      <c r="J404" s="168">
        <v>730.16</v>
      </c>
      <c r="K404" s="181">
        <f>I404-J404</f>
        <v>0</v>
      </c>
      <c r="L404" s="1"/>
      <c r="M404" s="1"/>
      <c r="N404" s="1"/>
    </row>
    <row r="405" spans="1:14" s="47" customFormat="1" ht="39.75" customHeight="1">
      <c r="A405" s="28" t="s">
        <v>19</v>
      </c>
      <c r="B405" s="7" t="s">
        <v>571</v>
      </c>
      <c r="C405" s="15" t="s">
        <v>20</v>
      </c>
      <c r="D405" s="13"/>
      <c r="E405" s="13">
        <f t="shared" si="33"/>
        <v>81.13999999999993</v>
      </c>
      <c r="F405" s="13">
        <f>3296.38-2417.76-67-730.16-0.32</f>
        <v>81.13999999999993</v>
      </c>
      <c r="G405" s="13"/>
      <c r="H405" s="178">
        <f t="shared" si="34"/>
        <v>0</v>
      </c>
      <c r="I405" s="179">
        <v>0</v>
      </c>
      <c r="J405" s="168"/>
      <c r="K405" s="181">
        <f>I405-J405</f>
        <v>0</v>
      </c>
      <c r="L405" s="1"/>
      <c r="M405" s="1"/>
      <c r="N405" s="1"/>
    </row>
    <row r="406" spans="1:14" s="47" customFormat="1" ht="24.75" customHeight="1">
      <c r="A406" s="28" t="s">
        <v>32</v>
      </c>
      <c r="B406" s="7" t="s">
        <v>571</v>
      </c>
      <c r="C406" s="7" t="s">
        <v>33</v>
      </c>
      <c r="D406" s="13"/>
      <c r="E406" s="13">
        <f t="shared" si="33"/>
        <v>0.32</v>
      </c>
      <c r="F406" s="13">
        <v>0.32</v>
      </c>
      <c r="G406" s="13"/>
      <c r="H406" s="178">
        <f t="shared" si="34"/>
        <v>0.32</v>
      </c>
      <c r="I406" s="13">
        <v>0.32</v>
      </c>
      <c r="J406" s="168">
        <v>0.32</v>
      </c>
      <c r="K406" s="181">
        <f>I406-J406</f>
        <v>0</v>
      </c>
      <c r="L406" s="1"/>
      <c r="M406" s="1"/>
      <c r="N406" s="1"/>
    </row>
    <row r="407" spans="1:14" s="47" customFormat="1" ht="41.25" customHeight="1">
      <c r="A407" s="28" t="s">
        <v>397</v>
      </c>
      <c r="B407" s="7" t="s">
        <v>380</v>
      </c>
      <c r="C407" s="7"/>
      <c r="D407" s="13">
        <f>SUM(D408:D409)</f>
        <v>3033.8</v>
      </c>
      <c r="E407" s="13">
        <f t="shared" si="33"/>
        <v>-3033.8</v>
      </c>
      <c r="F407" s="13"/>
      <c r="G407" s="13">
        <f>SUM(G408:G409)</f>
        <v>3033.8</v>
      </c>
      <c r="H407" s="178">
        <f t="shared" si="34"/>
        <v>-3033.8</v>
      </c>
      <c r="I407" s="180">
        <v>0</v>
      </c>
      <c r="J407" s="180">
        <v>0</v>
      </c>
      <c r="K407" s="129"/>
      <c r="L407" s="1"/>
      <c r="M407" s="1"/>
      <c r="N407" s="1"/>
    </row>
    <row r="408" spans="1:14" s="47" customFormat="1" ht="42.75" customHeight="1">
      <c r="A408" s="28" t="s">
        <v>10</v>
      </c>
      <c r="B408" s="7" t="s">
        <v>380</v>
      </c>
      <c r="C408" s="15" t="s">
        <v>11</v>
      </c>
      <c r="D408" s="13">
        <f>2521.4-153.6</f>
        <v>2367.8000000000002</v>
      </c>
      <c r="E408" s="13">
        <f t="shared" si="33"/>
        <v>-2367.8000000000002</v>
      </c>
      <c r="F408" s="13"/>
      <c r="G408" s="13">
        <f>2521.4-153.6</f>
        <v>2367.8000000000002</v>
      </c>
      <c r="H408" s="178">
        <f t="shared" si="34"/>
        <v>-2367.8000000000002</v>
      </c>
      <c r="I408" s="180">
        <v>0</v>
      </c>
      <c r="J408" s="180">
        <v>0</v>
      </c>
      <c r="K408" s="181">
        <f>I408-J408</f>
        <v>0</v>
      </c>
      <c r="L408" s="1"/>
      <c r="M408" s="1"/>
      <c r="N408" s="1"/>
    </row>
    <row r="409" spans="1:14" s="47" customFormat="1" ht="25.5" customHeight="1">
      <c r="A409" s="28" t="s">
        <v>12</v>
      </c>
      <c r="B409" s="7" t="s">
        <v>380</v>
      </c>
      <c r="C409" s="15" t="s">
        <v>13</v>
      </c>
      <c r="D409" s="13">
        <f>712.4-46.4</f>
        <v>666</v>
      </c>
      <c r="E409" s="13">
        <f t="shared" si="33"/>
        <v>-666</v>
      </c>
      <c r="F409" s="13"/>
      <c r="G409" s="13">
        <f>712.4-46.4</f>
        <v>666</v>
      </c>
      <c r="H409" s="178">
        <f t="shared" si="34"/>
        <v>-666</v>
      </c>
      <c r="I409" s="180">
        <v>0</v>
      </c>
      <c r="J409" s="180">
        <v>0</v>
      </c>
      <c r="K409" s="181">
        <f>I409-J409</f>
        <v>0</v>
      </c>
      <c r="L409" s="1"/>
      <c r="M409" s="1"/>
      <c r="N409" s="1"/>
    </row>
    <row r="410" spans="1:14" s="47" customFormat="1" ht="31.5" customHeight="1">
      <c r="A410" s="28" t="s">
        <v>37</v>
      </c>
      <c r="B410" s="7" t="s">
        <v>381</v>
      </c>
      <c r="C410" s="7"/>
      <c r="D410" s="13">
        <f>SUM(D411:D413)</f>
        <v>50.58</v>
      </c>
      <c r="E410" s="13">
        <f t="shared" si="33"/>
        <v>-50.58</v>
      </c>
      <c r="F410" s="13"/>
      <c r="G410" s="13">
        <f>SUM(G411:G413)</f>
        <v>50.58</v>
      </c>
      <c r="H410" s="178">
        <f t="shared" si="34"/>
        <v>-50.58</v>
      </c>
      <c r="I410" s="180">
        <v>0</v>
      </c>
      <c r="J410" s="180">
        <v>0</v>
      </c>
      <c r="K410" s="129"/>
      <c r="L410" s="1"/>
      <c r="M410" s="1"/>
      <c r="N410" s="1"/>
    </row>
    <row r="411" spans="1:14" s="47" customFormat="1" ht="32.25" customHeight="1">
      <c r="A411" s="32" t="s">
        <v>15</v>
      </c>
      <c r="B411" s="7" t="s">
        <v>381</v>
      </c>
      <c r="C411" s="15" t="s">
        <v>16</v>
      </c>
      <c r="D411" s="13"/>
      <c r="E411" s="13">
        <f t="shared" si="33"/>
        <v>0</v>
      </c>
      <c r="F411" s="13"/>
      <c r="G411" s="13"/>
      <c r="H411" s="178">
        <f t="shared" si="34"/>
        <v>0</v>
      </c>
      <c r="I411" s="180">
        <v>0</v>
      </c>
      <c r="J411" s="180">
        <v>0</v>
      </c>
      <c r="K411" s="181">
        <f>I411-J411</f>
        <v>0</v>
      </c>
      <c r="L411" s="1"/>
      <c r="M411" s="1"/>
      <c r="N411" s="1"/>
    </row>
    <row r="412" spans="1:14" ht="38.25" customHeight="1">
      <c r="A412" s="28" t="s">
        <v>19</v>
      </c>
      <c r="B412" s="7" t="s">
        <v>381</v>
      </c>
      <c r="C412" s="15" t="s">
        <v>20</v>
      </c>
      <c r="D412" s="13">
        <f>39.48+5.1+6</f>
        <v>50.58</v>
      </c>
      <c r="E412" s="13">
        <f t="shared" si="33"/>
        <v>-50.58</v>
      </c>
      <c r="F412" s="13"/>
      <c r="G412" s="13">
        <f>39.48+5.1+6</f>
        <v>50.58</v>
      </c>
      <c r="H412" s="178">
        <f t="shared" si="34"/>
        <v>-50.58</v>
      </c>
      <c r="I412" s="180">
        <v>0</v>
      </c>
      <c r="J412" s="180">
        <v>0</v>
      </c>
      <c r="K412" s="181">
        <f>I412-J412</f>
        <v>0</v>
      </c>
    </row>
    <row r="413" spans="1:14" ht="22.5" customHeight="1">
      <c r="A413" s="28" t="s">
        <v>21</v>
      </c>
      <c r="B413" s="7" t="s">
        <v>381</v>
      </c>
      <c r="C413" s="15" t="s">
        <v>22</v>
      </c>
      <c r="D413" s="13"/>
      <c r="E413" s="13">
        <f t="shared" si="33"/>
        <v>0</v>
      </c>
      <c r="F413" s="13"/>
      <c r="G413" s="13"/>
      <c r="H413" s="178">
        <f t="shared" si="34"/>
        <v>0</v>
      </c>
      <c r="I413" s="180">
        <v>0</v>
      </c>
      <c r="J413" s="180">
        <v>0</v>
      </c>
      <c r="K413" s="181">
        <f>I413-J413</f>
        <v>0</v>
      </c>
    </row>
    <row r="414" spans="1:14" ht="28.5" customHeight="1">
      <c r="A414" s="30" t="s">
        <v>423</v>
      </c>
      <c r="B414" s="16" t="s">
        <v>424</v>
      </c>
      <c r="C414" s="4"/>
      <c r="D414" s="17">
        <f>D418</f>
        <v>29738.100000000002</v>
      </c>
      <c r="E414" s="13">
        <f t="shared" si="33"/>
        <v>-2.0000000000436557E-2</v>
      </c>
      <c r="F414" s="17">
        <f>F415</f>
        <v>29738.080000000002</v>
      </c>
      <c r="G414" s="17">
        <f>G418</f>
        <v>0</v>
      </c>
      <c r="H414" s="178">
        <f t="shared" si="34"/>
        <v>0</v>
      </c>
      <c r="I414" s="17">
        <f t="shared" ref="I414:J416" si="35">I415</f>
        <v>0</v>
      </c>
      <c r="J414" s="169">
        <f t="shared" si="35"/>
        <v>0</v>
      </c>
      <c r="K414" s="129"/>
    </row>
    <row r="415" spans="1:14" ht="24" customHeight="1">
      <c r="A415" s="33" t="s">
        <v>426</v>
      </c>
      <c r="B415" s="16" t="s">
        <v>521</v>
      </c>
      <c r="C415" s="4"/>
      <c r="D415" s="17"/>
      <c r="E415" s="13">
        <f t="shared" si="33"/>
        <v>29738.080000000002</v>
      </c>
      <c r="F415" s="17">
        <f>F416</f>
        <v>29738.080000000002</v>
      </c>
      <c r="G415" s="17"/>
      <c r="H415" s="178">
        <f t="shared" si="34"/>
        <v>0</v>
      </c>
      <c r="I415" s="17">
        <f t="shared" si="35"/>
        <v>0</v>
      </c>
      <c r="J415" s="169">
        <f t="shared" si="35"/>
        <v>0</v>
      </c>
      <c r="K415" s="129"/>
    </row>
    <row r="416" spans="1:14" ht="25.5" customHeight="1">
      <c r="A416" s="28" t="s">
        <v>425</v>
      </c>
      <c r="B416" s="16" t="s">
        <v>522</v>
      </c>
      <c r="C416" s="4"/>
      <c r="D416" s="17"/>
      <c r="E416" s="13">
        <f t="shared" si="33"/>
        <v>29738.080000000002</v>
      </c>
      <c r="F416" s="17">
        <f>F417</f>
        <v>29738.080000000002</v>
      </c>
      <c r="G416" s="17"/>
      <c r="H416" s="178">
        <f t="shared" si="34"/>
        <v>0</v>
      </c>
      <c r="I416" s="17">
        <f t="shared" si="35"/>
        <v>0</v>
      </c>
      <c r="J416" s="169">
        <f t="shared" si="35"/>
        <v>0</v>
      </c>
      <c r="K416" s="129"/>
    </row>
    <row r="417" spans="1:14" ht="38.25" customHeight="1">
      <c r="A417" s="28" t="s">
        <v>180</v>
      </c>
      <c r="B417" s="16" t="s">
        <v>522</v>
      </c>
      <c r="C417" s="4" t="s">
        <v>181</v>
      </c>
      <c r="D417" s="17"/>
      <c r="E417" s="13">
        <f t="shared" si="33"/>
        <v>29738.080000000002</v>
      </c>
      <c r="F417" s="17">
        <f>29440.7+297.38</f>
        <v>29738.080000000002</v>
      </c>
      <c r="G417" s="17"/>
      <c r="H417" s="178">
        <f t="shared" si="34"/>
        <v>0</v>
      </c>
      <c r="I417" s="17">
        <v>0</v>
      </c>
      <c r="J417" s="169">
        <v>0</v>
      </c>
      <c r="K417" s="129" t="s">
        <v>524</v>
      </c>
      <c r="L417" s="1">
        <f>29440.7/99</f>
        <v>297.38080808080809</v>
      </c>
      <c r="M417" s="1">
        <f>I417/99</f>
        <v>0</v>
      </c>
      <c r="N417" s="1">
        <f>J417/99</f>
        <v>0</v>
      </c>
    </row>
    <row r="418" spans="1:14" ht="24.75" customHeight="1">
      <c r="A418" s="33" t="s">
        <v>426</v>
      </c>
      <c r="B418" s="16" t="s">
        <v>427</v>
      </c>
      <c r="C418" s="4"/>
      <c r="D418" s="17">
        <f>D419</f>
        <v>29738.100000000002</v>
      </c>
      <c r="E418" s="13">
        <f t="shared" si="33"/>
        <v>-29738.100000000002</v>
      </c>
      <c r="F418" s="17"/>
      <c r="G418" s="17">
        <f>G419</f>
        <v>0</v>
      </c>
      <c r="H418" s="178">
        <f t="shared" si="34"/>
        <v>0</v>
      </c>
      <c r="I418" s="180">
        <v>0</v>
      </c>
      <c r="J418" s="180">
        <v>0</v>
      </c>
      <c r="K418" s="129"/>
    </row>
    <row r="419" spans="1:14" ht="15" customHeight="1">
      <c r="A419" s="28" t="s">
        <v>425</v>
      </c>
      <c r="B419" s="16" t="s">
        <v>422</v>
      </c>
      <c r="C419" s="4"/>
      <c r="D419" s="17">
        <f>D420</f>
        <v>29738.100000000002</v>
      </c>
      <c r="E419" s="13">
        <f t="shared" si="33"/>
        <v>-29738.100000000002</v>
      </c>
      <c r="F419" s="17"/>
      <c r="G419" s="17">
        <f>G420</f>
        <v>0</v>
      </c>
      <c r="H419" s="178">
        <f t="shared" si="34"/>
        <v>0</v>
      </c>
      <c r="I419" s="180">
        <v>0</v>
      </c>
      <c r="J419" s="180">
        <v>0</v>
      </c>
      <c r="K419" s="129"/>
    </row>
    <row r="420" spans="1:14" ht="15.75" customHeight="1">
      <c r="A420" s="28" t="s">
        <v>180</v>
      </c>
      <c r="B420" s="16" t="s">
        <v>422</v>
      </c>
      <c r="C420" s="4" t="s">
        <v>181</v>
      </c>
      <c r="D420" s="17">
        <f>29440.7+297.4</f>
        <v>29738.100000000002</v>
      </c>
      <c r="E420" s="13">
        <f t="shared" si="33"/>
        <v>-29738.100000000002</v>
      </c>
      <c r="F420" s="17"/>
      <c r="G420" s="17"/>
      <c r="H420" s="178">
        <f t="shared" si="34"/>
        <v>0</v>
      </c>
      <c r="I420" s="180">
        <v>0</v>
      </c>
      <c r="J420" s="180">
        <v>0</v>
      </c>
      <c r="K420" s="181">
        <f>I420-J420</f>
        <v>0</v>
      </c>
    </row>
    <row r="421" spans="1:14" ht="25.5" customHeight="1">
      <c r="A421" s="30" t="s">
        <v>296</v>
      </c>
      <c r="B421" s="20" t="s">
        <v>265</v>
      </c>
      <c r="C421" s="19"/>
      <c r="D421" s="17">
        <f>D422</f>
        <v>0</v>
      </c>
      <c r="E421" s="13">
        <f t="shared" si="33"/>
        <v>0</v>
      </c>
      <c r="F421" s="17">
        <f t="shared" ref="F421:G425" si="36">F422</f>
        <v>0</v>
      </c>
      <c r="G421" s="17">
        <f t="shared" si="36"/>
        <v>0</v>
      </c>
      <c r="H421" s="178">
        <f t="shared" si="34"/>
        <v>0</v>
      </c>
      <c r="I421" s="17">
        <f t="shared" ref="I421:I430" si="37">I422</f>
        <v>0</v>
      </c>
      <c r="J421" s="169">
        <f t="shared" ref="J421:J430" si="38">J422</f>
        <v>0</v>
      </c>
      <c r="K421" s="129"/>
    </row>
    <row r="422" spans="1:14" ht="29.25" customHeight="1">
      <c r="A422" s="30" t="s">
        <v>296</v>
      </c>
      <c r="B422" s="20" t="s">
        <v>265</v>
      </c>
      <c r="C422" s="7"/>
      <c r="D422" s="17">
        <f>D423</f>
        <v>0</v>
      </c>
      <c r="E422" s="13">
        <f t="shared" si="33"/>
        <v>0</v>
      </c>
      <c r="F422" s="17">
        <f t="shared" si="36"/>
        <v>0</v>
      </c>
      <c r="G422" s="17">
        <f t="shared" si="36"/>
        <v>0</v>
      </c>
      <c r="H422" s="178">
        <f t="shared" si="34"/>
        <v>0</v>
      </c>
      <c r="I422" s="17">
        <f t="shared" si="37"/>
        <v>0</v>
      </c>
      <c r="J422" s="169">
        <f t="shared" si="38"/>
        <v>0</v>
      </c>
      <c r="K422" s="129"/>
    </row>
    <row r="423" spans="1:14" ht="29.25" customHeight="1">
      <c r="A423" s="30" t="s">
        <v>296</v>
      </c>
      <c r="B423" s="20" t="s">
        <v>265</v>
      </c>
      <c r="C423" s="4"/>
      <c r="D423" s="17">
        <f>D424</f>
        <v>0</v>
      </c>
      <c r="E423" s="13">
        <f t="shared" si="33"/>
        <v>0</v>
      </c>
      <c r="F423" s="17">
        <f t="shared" si="36"/>
        <v>0</v>
      </c>
      <c r="G423" s="17">
        <f t="shared" si="36"/>
        <v>0</v>
      </c>
      <c r="H423" s="178">
        <f t="shared" si="34"/>
        <v>0</v>
      </c>
      <c r="I423" s="17">
        <f t="shared" si="37"/>
        <v>0</v>
      </c>
      <c r="J423" s="169">
        <f t="shared" si="38"/>
        <v>0</v>
      </c>
      <c r="K423" s="129"/>
    </row>
    <row r="424" spans="1:14" ht="18.75" customHeight="1">
      <c r="A424" s="30" t="s">
        <v>296</v>
      </c>
      <c r="B424" s="20" t="s">
        <v>265</v>
      </c>
      <c r="C424" s="15"/>
      <c r="D424" s="17">
        <f>D425</f>
        <v>0</v>
      </c>
      <c r="E424" s="13">
        <f t="shared" si="33"/>
        <v>0</v>
      </c>
      <c r="F424" s="17">
        <f t="shared" si="36"/>
        <v>0</v>
      </c>
      <c r="G424" s="17">
        <f t="shared" si="36"/>
        <v>0</v>
      </c>
      <c r="H424" s="178">
        <f t="shared" si="34"/>
        <v>0</v>
      </c>
      <c r="I424" s="17">
        <f t="shared" si="37"/>
        <v>0</v>
      </c>
      <c r="J424" s="169">
        <f t="shared" si="38"/>
        <v>0</v>
      </c>
      <c r="K424" s="129"/>
    </row>
    <row r="425" spans="1:14" ht="25.5" customHeight="1">
      <c r="A425" s="30" t="s">
        <v>115</v>
      </c>
      <c r="B425" s="15" t="s">
        <v>355</v>
      </c>
      <c r="C425" s="7"/>
      <c r="D425" s="17">
        <f>D426</f>
        <v>0</v>
      </c>
      <c r="E425" s="13">
        <f t="shared" si="33"/>
        <v>0</v>
      </c>
      <c r="F425" s="17">
        <f t="shared" si="36"/>
        <v>0</v>
      </c>
      <c r="G425" s="17">
        <f t="shared" si="36"/>
        <v>0</v>
      </c>
      <c r="H425" s="178">
        <f t="shared" si="34"/>
        <v>0</v>
      </c>
      <c r="I425" s="17">
        <f t="shared" si="37"/>
        <v>0</v>
      </c>
      <c r="J425" s="169">
        <f t="shared" si="38"/>
        <v>0</v>
      </c>
      <c r="K425" s="129"/>
    </row>
    <row r="426" spans="1:14" ht="25.5" hidden="1" customHeight="1">
      <c r="A426" s="30" t="s">
        <v>115</v>
      </c>
      <c r="B426" s="15" t="s">
        <v>355</v>
      </c>
      <c r="C426" s="15"/>
      <c r="D426" s="17">
        <f>D430</f>
        <v>0</v>
      </c>
      <c r="E426" s="13">
        <f t="shared" si="33"/>
        <v>0</v>
      </c>
      <c r="F426" s="17">
        <f>F427</f>
        <v>0</v>
      </c>
      <c r="G426" s="17">
        <f>G430</f>
        <v>0</v>
      </c>
      <c r="H426" s="178">
        <f t="shared" si="34"/>
        <v>0</v>
      </c>
      <c r="I426" s="17">
        <f t="shared" si="37"/>
        <v>0</v>
      </c>
      <c r="J426" s="169">
        <f t="shared" si="38"/>
        <v>0</v>
      </c>
      <c r="K426" s="129"/>
    </row>
    <row r="427" spans="1:14" ht="25.5" hidden="1" customHeight="1">
      <c r="A427" s="30" t="s">
        <v>115</v>
      </c>
      <c r="B427" s="15" t="s">
        <v>355</v>
      </c>
      <c r="C427" s="25"/>
      <c r="D427" s="24">
        <f>D428</f>
        <v>0</v>
      </c>
      <c r="E427" s="13">
        <f t="shared" si="33"/>
        <v>0</v>
      </c>
      <c r="F427" s="24">
        <f>F428</f>
        <v>0</v>
      </c>
      <c r="G427" s="24">
        <f>G428</f>
        <v>0</v>
      </c>
      <c r="H427" s="178">
        <f t="shared" si="34"/>
        <v>0</v>
      </c>
      <c r="I427" s="24">
        <f t="shared" si="37"/>
        <v>0</v>
      </c>
      <c r="J427" s="169">
        <f t="shared" si="38"/>
        <v>0</v>
      </c>
    </row>
    <row r="428" spans="1:14" ht="24.75" customHeight="1">
      <c r="A428" s="28" t="s">
        <v>576</v>
      </c>
      <c r="B428" s="15" t="s">
        <v>512</v>
      </c>
      <c r="C428" s="15"/>
      <c r="D428" s="17"/>
      <c r="E428" s="13">
        <f t="shared" si="33"/>
        <v>0</v>
      </c>
      <c r="F428" s="17">
        <f>F429</f>
        <v>0</v>
      </c>
      <c r="G428" s="17"/>
      <c r="H428" s="178">
        <f t="shared" si="34"/>
        <v>0</v>
      </c>
      <c r="I428" s="17">
        <f t="shared" si="37"/>
        <v>0</v>
      </c>
      <c r="J428" s="169">
        <f t="shared" si="38"/>
        <v>0</v>
      </c>
      <c r="K428" s="129"/>
    </row>
    <row r="429" spans="1:14" ht="25.5" customHeight="1">
      <c r="A429" s="28" t="s">
        <v>594</v>
      </c>
      <c r="B429" s="15" t="s">
        <v>512</v>
      </c>
      <c r="C429" s="15"/>
      <c r="D429" s="17">
        <f>D431</f>
        <v>0</v>
      </c>
      <c r="E429" s="13">
        <f t="shared" si="33"/>
        <v>0</v>
      </c>
      <c r="F429" s="17">
        <f>F430</f>
        <v>0</v>
      </c>
      <c r="G429" s="17">
        <f>G431</f>
        <v>0</v>
      </c>
      <c r="H429" s="178">
        <f t="shared" si="34"/>
        <v>0</v>
      </c>
      <c r="I429" s="17">
        <f t="shared" si="37"/>
        <v>0</v>
      </c>
      <c r="J429" s="169">
        <f t="shared" si="38"/>
        <v>0</v>
      </c>
    </row>
    <row r="430" spans="1:14" ht="17.25" customHeight="1">
      <c r="A430" s="28" t="s">
        <v>232</v>
      </c>
      <c r="B430" s="15" t="s">
        <v>596</v>
      </c>
      <c r="C430" s="15"/>
      <c r="D430" s="17"/>
      <c r="E430" s="13">
        <f t="shared" si="33"/>
        <v>0</v>
      </c>
      <c r="F430" s="17">
        <f>F431</f>
        <v>0</v>
      </c>
      <c r="G430" s="17"/>
      <c r="H430" s="178">
        <f t="shared" si="34"/>
        <v>0</v>
      </c>
      <c r="I430" s="17">
        <f t="shared" si="37"/>
        <v>0</v>
      </c>
      <c r="J430" s="169">
        <f t="shared" si="38"/>
        <v>0</v>
      </c>
      <c r="K430" s="129"/>
    </row>
    <row r="431" spans="1:14" ht="30.75" customHeight="1">
      <c r="A431" s="28" t="s">
        <v>233</v>
      </c>
      <c r="B431" s="15" t="s">
        <v>596</v>
      </c>
      <c r="C431" s="15" t="s">
        <v>234</v>
      </c>
      <c r="D431" s="17"/>
      <c r="E431" s="13">
        <f t="shared" si="33"/>
        <v>0</v>
      </c>
      <c r="F431" s="17"/>
      <c r="G431" s="17"/>
      <c r="H431" s="178">
        <f t="shared" si="34"/>
        <v>0</v>
      </c>
      <c r="I431" s="180">
        <v>0</v>
      </c>
      <c r="J431" s="180">
        <v>0</v>
      </c>
      <c r="K431" s="181">
        <f>I431-J431</f>
        <v>0</v>
      </c>
    </row>
    <row r="432" spans="1:14" ht="25.5" customHeight="1">
      <c r="A432" s="28" t="s">
        <v>239</v>
      </c>
      <c r="B432" s="15" t="s">
        <v>595</v>
      </c>
      <c r="C432" s="15"/>
      <c r="D432" s="17"/>
      <c r="E432" s="13">
        <f t="shared" si="33"/>
        <v>0</v>
      </c>
      <c r="F432" s="17">
        <f>F433</f>
        <v>0</v>
      </c>
      <c r="G432" s="17"/>
      <c r="H432" s="178">
        <f t="shared" si="34"/>
        <v>0</v>
      </c>
      <c r="I432" s="17">
        <f>I433</f>
        <v>0</v>
      </c>
      <c r="J432" s="169">
        <f>J433</f>
        <v>0</v>
      </c>
    </row>
    <row r="433" spans="1:14" ht="25.5" customHeight="1">
      <c r="A433" s="28" t="s">
        <v>96</v>
      </c>
      <c r="B433" s="15" t="s">
        <v>595</v>
      </c>
      <c r="C433" s="15" t="s">
        <v>97</v>
      </c>
      <c r="D433" s="17">
        <v>500</v>
      </c>
      <c r="E433" s="13">
        <f t="shared" si="33"/>
        <v>-500</v>
      </c>
      <c r="F433" s="17"/>
      <c r="G433" s="17">
        <v>500</v>
      </c>
      <c r="H433" s="178">
        <f t="shared" si="34"/>
        <v>-500</v>
      </c>
      <c r="I433" s="180">
        <v>0</v>
      </c>
      <c r="J433" s="180">
        <v>0</v>
      </c>
      <c r="K433" s="181">
        <f>I433-J433</f>
        <v>0</v>
      </c>
    </row>
    <row r="434" spans="1:14" ht="17.25" customHeight="1">
      <c r="A434" s="28" t="s">
        <v>232</v>
      </c>
      <c r="B434" s="15" t="s">
        <v>382</v>
      </c>
      <c r="C434" s="15"/>
      <c r="D434" s="17">
        <f>D435</f>
        <v>1672.3</v>
      </c>
      <c r="E434" s="13">
        <f t="shared" si="33"/>
        <v>-1672.3</v>
      </c>
      <c r="F434" s="17"/>
      <c r="G434" s="17">
        <f>G435</f>
        <v>1672.3</v>
      </c>
      <c r="H434" s="178">
        <f t="shared" si="34"/>
        <v>-1672.3</v>
      </c>
      <c r="I434" s="180">
        <v>0</v>
      </c>
      <c r="J434" s="180">
        <v>0</v>
      </c>
      <c r="K434" s="129"/>
    </row>
    <row r="435" spans="1:14" ht="22.5" customHeight="1">
      <c r="A435" s="28" t="s">
        <v>233</v>
      </c>
      <c r="B435" s="15" t="s">
        <v>382</v>
      </c>
      <c r="C435" s="15" t="s">
        <v>234</v>
      </c>
      <c r="D435" s="17">
        <v>1672.3</v>
      </c>
      <c r="E435" s="13">
        <f t="shared" si="33"/>
        <v>-1672.3</v>
      </c>
      <c r="F435" s="17"/>
      <c r="G435" s="17">
        <v>1672.3</v>
      </c>
      <c r="H435" s="178">
        <f t="shared" si="34"/>
        <v>-1672.3</v>
      </c>
      <c r="I435" s="180">
        <v>0</v>
      </c>
      <c r="J435" s="180">
        <v>0</v>
      </c>
      <c r="K435" s="181">
        <f>I435-J435</f>
        <v>0</v>
      </c>
    </row>
    <row r="436" spans="1:14" ht="25.5" customHeight="1">
      <c r="A436" s="28" t="s">
        <v>116</v>
      </c>
      <c r="B436" s="15" t="s">
        <v>356</v>
      </c>
      <c r="C436" s="15"/>
      <c r="D436" s="17">
        <f>D437</f>
        <v>5299.7</v>
      </c>
      <c r="E436" s="13">
        <f t="shared" si="33"/>
        <v>151.40000000000055</v>
      </c>
      <c r="F436" s="17">
        <f>F437</f>
        <v>5451.1</v>
      </c>
      <c r="G436" s="17">
        <f>G437</f>
        <v>5299.7</v>
      </c>
      <c r="H436" s="178">
        <f t="shared" si="34"/>
        <v>151.40000000000055</v>
      </c>
      <c r="I436" s="17">
        <f>I437</f>
        <v>5451.1</v>
      </c>
      <c r="J436" s="169">
        <f>J437</f>
        <v>5451.1</v>
      </c>
      <c r="K436" s="129"/>
    </row>
    <row r="437" spans="1:14" ht="25.5" customHeight="1">
      <c r="A437" s="28" t="s">
        <v>96</v>
      </c>
      <c r="B437" s="15" t="s">
        <v>356</v>
      </c>
      <c r="C437" s="15" t="s">
        <v>97</v>
      </c>
      <c r="D437" s="17">
        <v>5299.7</v>
      </c>
      <c r="E437" s="13">
        <f t="shared" si="33"/>
        <v>151.40000000000055</v>
      </c>
      <c r="F437" s="17">
        <v>5451.1</v>
      </c>
      <c r="G437" s="17">
        <v>5299.7</v>
      </c>
      <c r="H437" s="178">
        <f t="shared" si="34"/>
        <v>151.40000000000055</v>
      </c>
      <c r="I437" s="17">
        <v>5451.1</v>
      </c>
      <c r="J437" s="169">
        <v>5451.1</v>
      </c>
      <c r="K437" s="129" t="s">
        <v>523</v>
      </c>
    </row>
    <row r="438" spans="1:14" ht="25.5" customHeight="1">
      <c r="A438" s="165" t="s">
        <v>199</v>
      </c>
      <c r="B438" s="20" t="s">
        <v>354</v>
      </c>
      <c r="C438" s="19"/>
      <c r="D438" s="17">
        <f>D439</f>
        <v>103.1</v>
      </c>
      <c r="E438" s="13">
        <f t="shared" si="33"/>
        <v>-3.7999999999999972</v>
      </c>
      <c r="F438" s="17">
        <f>F439</f>
        <v>99.3</v>
      </c>
      <c r="G438" s="17">
        <f>G439</f>
        <v>103.1</v>
      </c>
      <c r="H438" s="178">
        <f t="shared" si="34"/>
        <v>-3.7999999999999972</v>
      </c>
      <c r="I438" s="17">
        <f t="shared" ref="I438:J441" si="39">I439</f>
        <v>99.3</v>
      </c>
      <c r="J438" s="169">
        <f t="shared" si="39"/>
        <v>99.3</v>
      </c>
      <c r="K438" s="129"/>
    </row>
    <row r="439" spans="1:14" ht="25.5" customHeight="1">
      <c r="A439" s="28" t="s">
        <v>199</v>
      </c>
      <c r="B439" s="15" t="s">
        <v>354</v>
      </c>
      <c r="C439" s="4"/>
      <c r="D439" s="17">
        <f>D440</f>
        <v>103.1</v>
      </c>
      <c r="E439" s="13">
        <f t="shared" si="33"/>
        <v>-3.7999999999999972</v>
      </c>
      <c r="F439" s="17">
        <f>F440</f>
        <v>99.3</v>
      </c>
      <c r="G439" s="17">
        <f>G440</f>
        <v>103.1</v>
      </c>
      <c r="H439" s="178">
        <f t="shared" si="34"/>
        <v>-3.7999999999999972</v>
      </c>
      <c r="I439" s="17">
        <f t="shared" si="39"/>
        <v>99.3</v>
      </c>
      <c r="J439" s="169">
        <f t="shared" si="39"/>
        <v>99.3</v>
      </c>
      <c r="K439" s="129"/>
    </row>
    <row r="440" spans="1:14" ht="14.25" customHeight="1">
      <c r="A440" s="28" t="s">
        <v>199</v>
      </c>
      <c r="B440" s="15" t="s">
        <v>354</v>
      </c>
      <c r="C440" s="7"/>
      <c r="D440" s="17">
        <f>D441+D443</f>
        <v>103.1</v>
      </c>
      <c r="E440" s="13">
        <f t="shared" si="33"/>
        <v>-3.7999999999999972</v>
      </c>
      <c r="F440" s="17">
        <f>F441</f>
        <v>99.3</v>
      </c>
      <c r="G440" s="17">
        <f>G441+G443</f>
        <v>103.1</v>
      </c>
      <c r="H440" s="178">
        <f t="shared" si="34"/>
        <v>-3.7999999999999972</v>
      </c>
      <c r="I440" s="17">
        <f t="shared" si="39"/>
        <v>99.3</v>
      </c>
      <c r="J440" s="169">
        <f t="shared" si="39"/>
        <v>99.3</v>
      </c>
      <c r="K440" s="129"/>
    </row>
    <row r="441" spans="1:14" ht="14.25" customHeight="1">
      <c r="A441" s="28" t="s">
        <v>200</v>
      </c>
      <c r="B441" s="15" t="s">
        <v>357</v>
      </c>
      <c r="C441" s="15"/>
      <c r="D441" s="17">
        <f>SUM(D442:D442)</f>
        <v>103.1</v>
      </c>
      <c r="E441" s="13">
        <f t="shared" si="33"/>
        <v>-3.7999999999999972</v>
      </c>
      <c r="F441" s="17">
        <f>F442</f>
        <v>99.3</v>
      </c>
      <c r="G441" s="17">
        <f>SUM(G442:G442)</f>
        <v>103.1</v>
      </c>
      <c r="H441" s="178">
        <f t="shared" si="34"/>
        <v>-3.7999999999999972</v>
      </c>
      <c r="I441" s="17">
        <f t="shared" si="39"/>
        <v>99.3</v>
      </c>
      <c r="J441" s="169">
        <f t="shared" si="39"/>
        <v>99.3</v>
      </c>
      <c r="K441" s="129"/>
    </row>
    <row r="442" spans="1:14" ht="33.75" customHeight="1">
      <c r="A442" s="28" t="s">
        <v>19</v>
      </c>
      <c r="B442" s="15" t="s">
        <v>357</v>
      </c>
      <c r="C442" s="15" t="s">
        <v>20</v>
      </c>
      <c r="D442" s="17">
        <v>103.1</v>
      </c>
      <c r="E442" s="13">
        <f t="shared" ref="E442:E505" si="40">F442-D442</f>
        <v>-3.7999999999999972</v>
      </c>
      <c r="F442" s="17">
        <v>99.3</v>
      </c>
      <c r="G442" s="17">
        <v>103.1</v>
      </c>
      <c r="H442" s="178">
        <f t="shared" si="34"/>
        <v>-3.7999999999999972</v>
      </c>
      <c r="I442" s="17">
        <v>99.3</v>
      </c>
      <c r="J442" s="169">
        <v>99.3</v>
      </c>
      <c r="K442" s="129" t="s">
        <v>523</v>
      </c>
    </row>
    <row r="443" spans="1:14" ht="30" customHeight="1">
      <c r="A443" s="28" t="s">
        <v>235</v>
      </c>
      <c r="B443" s="15" t="s">
        <v>383</v>
      </c>
      <c r="C443" s="15"/>
      <c r="D443" s="17">
        <f>D444</f>
        <v>0</v>
      </c>
      <c r="E443" s="13">
        <f t="shared" si="40"/>
        <v>778.6</v>
      </c>
      <c r="F443" s="17">
        <f>F444</f>
        <v>778.6</v>
      </c>
      <c r="G443" s="17">
        <f>G444</f>
        <v>0</v>
      </c>
      <c r="H443" s="178">
        <f t="shared" si="34"/>
        <v>0</v>
      </c>
      <c r="I443" s="17">
        <f>I444</f>
        <v>0</v>
      </c>
      <c r="J443" s="169">
        <f>J444</f>
        <v>0</v>
      </c>
      <c r="K443" s="129"/>
    </row>
    <row r="444" spans="1:14" ht="27" customHeight="1">
      <c r="A444" s="28" t="s">
        <v>236</v>
      </c>
      <c r="B444" s="15" t="s">
        <v>383</v>
      </c>
      <c r="C444" s="15" t="s">
        <v>237</v>
      </c>
      <c r="D444" s="17"/>
      <c r="E444" s="13">
        <f t="shared" si="40"/>
        <v>778.6</v>
      </c>
      <c r="F444" s="17">
        <v>778.6</v>
      </c>
      <c r="G444" s="17"/>
      <c r="H444" s="178">
        <f t="shared" si="34"/>
        <v>0</v>
      </c>
      <c r="I444" s="179">
        <v>0</v>
      </c>
      <c r="J444" s="180">
        <v>0</v>
      </c>
      <c r="K444" s="129" t="s">
        <v>523</v>
      </c>
    </row>
    <row r="445" spans="1:14" ht="25.5" customHeight="1">
      <c r="A445" s="28" t="s">
        <v>238</v>
      </c>
      <c r="B445" s="15" t="s">
        <v>384</v>
      </c>
      <c r="C445" s="15"/>
      <c r="D445" s="17">
        <f>D446</f>
        <v>0</v>
      </c>
      <c r="E445" s="13">
        <f t="shared" si="40"/>
        <v>0</v>
      </c>
      <c r="F445" s="17"/>
      <c r="G445" s="17">
        <f>G446</f>
        <v>0</v>
      </c>
      <c r="H445" s="178">
        <f t="shared" si="34"/>
        <v>0</v>
      </c>
      <c r="I445" s="180">
        <v>0</v>
      </c>
      <c r="J445" s="180">
        <v>0</v>
      </c>
      <c r="K445" s="129"/>
    </row>
    <row r="446" spans="1:14" ht="30" customHeight="1">
      <c r="A446" s="28" t="s">
        <v>236</v>
      </c>
      <c r="B446" s="15" t="s">
        <v>384</v>
      </c>
      <c r="C446" s="15" t="s">
        <v>237</v>
      </c>
      <c r="D446" s="17"/>
      <c r="E446" s="13">
        <f t="shared" si="40"/>
        <v>0</v>
      </c>
      <c r="F446" s="17"/>
      <c r="G446" s="17"/>
      <c r="H446" s="178">
        <f t="shared" si="34"/>
        <v>0</v>
      </c>
      <c r="I446" s="180">
        <v>0</v>
      </c>
      <c r="J446" s="180">
        <v>0</v>
      </c>
      <c r="K446" s="181">
        <f>I446-J446</f>
        <v>0</v>
      </c>
    </row>
    <row r="447" spans="1:14" ht="40.5" customHeight="1">
      <c r="A447" s="28" t="s">
        <v>402</v>
      </c>
      <c r="B447" s="20" t="s">
        <v>403</v>
      </c>
      <c r="C447" s="20"/>
      <c r="D447" s="17">
        <f>D448</f>
        <v>555.20000000000005</v>
      </c>
      <c r="E447" s="13">
        <f t="shared" si="40"/>
        <v>-264.09000000000003</v>
      </c>
      <c r="F447" s="17">
        <f>F448</f>
        <v>291.11</v>
      </c>
      <c r="G447" s="17">
        <f>G448</f>
        <v>521.1</v>
      </c>
      <c r="H447" s="178">
        <f t="shared" si="34"/>
        <v>-230.90000000000003</v>
      </c>
      <c r="I447" s="17">
        <f>I448</f>
        <v>290.2</v>
      </c>
      <c r="J447" s="169">
        <f>J448</f>
        <v>287.98</v>
      </c>
      <c r="K447" s="129"/>
    </row>
    <row r="448" spans="1:14" ht="15" customHeight="1">
      <c r="A448" s="35" t="s">
        <v>113</v>
      </c>
      <c r="B448" s="20" t="s">
        <v>403</v>
      </c>
      <c r="C448" s="20" t="s">
        <v>114</v>
      </c>
      <c r="D448" s="17">
        <f>455.2+100</f>
        <v>555.20000000000005</v>
      </c>
      <c r="E448" s="13">
        <f t="shared" si="40"/>
        <v>-264.09000000000003</v>
      </c>
      <c r="F448" s="17">
        <f>288.2+2.91</f>
        <v>291.11</v>
      </c>
      <c r="G448" s="17">
        <f>421.1+100</f>
        <v>521.1</v>
      </c>
      <c r="H448" s="178">
        <f t="shared" si="34"/>
        <v>-230.90000000000003</v>
      </c>
      <c r="I448" s="17">
        <f>287.3+2.9</f>
        <v>290.2</v>
      </c>
      <c r="J448" s="169">
        <f>285.1+2.88</f>
        <v>287.98</v>
      </c>
      <c r="K448" s="129" t="s">
        <v>524</v>
      </c>
      <c r="L448" s="1">
        <f>288.2/99</f>
        <v>2.911111111111111</v>
      </c>
      <c r="M448" s="1">
        <f>287.3/99</f>
        <v>2.9020202020202022</v>
      </c>
      <c r="N448" s="1">
        <f>285.1/99</f>
        <v>2.87979797979798</v>
      </c>
    </row>
    <row r="449" spans="1:14" ht="15" customHeight="1">
      <c r="A449" s="28" t="s">
        <v>412</v>
      </c>
      <c r="B449" s="15" t="s">
        <v>411</v>
      </c>
      <c r="C449" s="23"/>
      <c r="D449" s="24">
        <f>D450</f>
        <v>2423.73</v>
      </c>
      <c r="E449" s="13">
        <f t="shared" si="40"/>
        <v>-2423.73</v>
      </c>
      <c r="F449" s="24">
        <f>F450</f>
        <v>0</v>
      </c>
      <c r="G449" s="24">
        <f>G450</f>
        <v>11340.61</v>
      </c>
      <c r="H449" s="178">
        <f t="shared" si="34"/>
        <v>-11340.61</v>
      </c>
      <c r="I449" s="24">
        <f>I450</f>
        <v>0</v>
      </c>
      <c r="J449" s="169">
        <f>J450</f>
        <v>0</v>
      </c>
      <c r="K449" s="129"/>
    </row>
    <row r="450" spans="1:14" ht="26.25" customHeight="1">
      <c r="A450" s="35" t="s">
        <v>113</v>
      </c>
      <c r="B450" s="15" t="s">
        <v>411</v>
      </c>
      <c r="C450" s="25">
        <v>322</v>
      </c>
      <c r="D450" s="24">
        <f>2399.5+24.23</f>
        <v>2423.73</v>
      </c>
      <c r="E450" s="13">
        <f t="shared" si="40"/>
        <v>-2423.73</v>
      </c>
      <c r="F450" s="24"/>
      <c r="G450" s="24">
        <f>11227.2+113.41</f>
        <v>11340.61</v>
      </c>
      <c r="H450" s="178">
        <f t="shared" si="34"/>
        <v>-11340.61</v>
      </c>
      <c r="I450" s="180">
        <v>0</v>
      </c>
      <c r="J450" s="180">
        <v>0</v>
      </c>
      <c r="K450" s="181">
        <f>I450-J450</f>
        <v>0</v>
      </c>
    </row>
    <row r="451" spans="1:14" ht="38.25" customHeight="1">
      <c r="A451" s="28" t="s">
        <v>520</v>
      </c>
      <c r="B451" s="15" t="s">
        <v>519</v>
      </c>
      <c r="C451" s="25"/>
      <c r="D451" s="24"/>
      <c r="E451" s="13">
        <f t="shared" si="40"/>
        <v>659.09</v>
      </c>
      <c r="F451" s="24">
        <f>F452</f>
        <v>659.09</v>
      </c>
      <c r="G451" s="24"/>
      <c r="H451" s="178">
        <f t="shared" si="34"/>
        <v>631.92000000000007</v>
      </c>
      <c r="I451" s="24">
        <f>I452</f>
        <v>631.92000000000007</v>
      </c>
      <c r="J451" s="169">
        <f>J452</f>
        <v>590.19999999999993</v>
      </c>
      <c r="K451" s="129"/>
    </row>
    <row r="452" spans="1:14" ht="38.25" customHeight="1">
      <c r="A452" s="35" t="s">
        <v>113</v>
      </c>
      <c r="B452" s="15" t="s">
        <v>519</v>
      </c>
      <c r="C452" s="25">
        <v>322</v>
      </c>
      <c r="D452" s="24"/>
      <c r="E452" s="13">
        <f t="shared" si="40"/>
        <v>659.09</v>
      </c>
      <c r="F452" s="24">
        <f>652.5+6.59</f>
        <v>659.09</v>
      </c>
      <c r="G452" s="24"/>
      <c r="H452" s="178">
        <f t="shared" si="34"/>
        <v>631.92000000000007</v>
      </c>
      <c r="I452" s="179">
        <f>625.6+6.32</f>
        <v>631.92000000000007</v>
      </c>
      <c r="J452" s="180">
        <f>584.3+5.9</f>
        <v>590.19999999999993</v>
      </c>
      <c r="K452" s="129" t="s">
        <v>524</v>
      </c>
      <c r="L452" s="1">
        <f>652.5/99</f>
        <v>6.5909090909090908</v>
      </c>
      <c r="M452" s="1">
        <f>625.6/99</f>
        <v>6.319191919191919</v>
      </c>
      <c r="N452" s="1">
        <f>584.3/99</f>
        <v>5.9020202020202017</v>
      </c>
    </row>
    <row r="453" spans="1:14" s="47" customFormat="1" ht="38.25" customHeight="1">
      <c r="A453" s="30" t="s">
        <v>613</v>
      </c>
      <c r="B453" s="7" t="s">
        <v>278</v>
      </c>
      <c r="C453" s="7"/>
      <c r="D453" s="13">
        <f>D455</f>
        <v>1524.1</v>
      </c>
      <c r="E453" s="13">
        <f t="shared" si="40"/>
        <v>-1524.1</v>
      </c>
      <c r="F453" s="13"/>
      <c r="G453" s="13">
        <f>G455</f>
        <v>1524.1</v>
      </c>
      <c r="H453" s="178">
        <f t="shared" si="34"/>
        <v>-1524.1</v>
      </c>
      <c r="I453" s="180">
        <v>0</v>
      </c>
      <c r="J453" s="180">
        <v>0</v>
      </c>
      <c r="K453" s="1"/>
      <c r="L453" s="1"/>
      <c r="M453" s="1"/>
      <c r="N453" s="1"/>
    </row>
    <row r="454" spans="1:14" s="47" customFormat="1" ht="15" customHeight="1">
      <c r="A454" s="30" t="s">
        <v>264</v>
      </c>
      <c r="B454" s="7" t="s">
        <v>278</v>
      </c>
      <c r="C454" s="7"/>
      <c r="D454" s="17">
        <f>D455</f>
        <v>1524.1</v>
      </c>
      <c r="E454" s="13">
        <f t="shared" si="40"/>
        <v>-1524.1</v>
      </c>
      <c r="F454" s="17"/>
      <c r="G454" s="17">
        <f>G455</f>
        <v>1524.1</v>
      </c>
      <c r="H454" s="178">
        <f t="shared" si="34"/>
        <v>-1524.1</v>
      </c>
      <c r="I454" s="180">
        <v>0</v>
      </c>
      <c r="J454" s="180">
        <v>0</v>
      </c>
      <c r="K454" s="129"/>
      <c r="L454" s="1"/>
      <c r="M454" s="1"/>
      <c r="N454" s="1"/>
    </row>
    <row r="455" spans="1:14" s="47" customFormat="1" ht="15" customHeight="1">
      <c r="A455" s="28" t="s">
        <v>40</v>
      </c>
      <c r="B455" s="16" t="s">
        <v>281</v>
      </c>
      <c r="C455" s="15"/>
      <c r="D455" s="13">
        <f>SUM(D456:D457)</f>
        <v>1524.1</v>
      </c>
      <c r="E455" s="13">
        <f t="shared" si="40"/>
        <v>-1524.1</v>
      </c>
      <c r="F455" s="13"/>
      <c r="G455" s="13">
        <f>SUM(G456:G457)</f>
        <v>1524.1</v>
      </c>
      <c r="H455" s="178">
        <f t="shared" si="34"/>
        <v>-1524.1</v>
      </c>
      <c r="I455" s="180">
        <v>0</v>
      </c>
      <c r="J455" s="180">
        <v>0</v>
      </c>
      <c r="K455" s="1"/>
      <c r="L455" s="1"/>
      <c r="M455" s="1"/>
      <c r="N455" s="1"/>
    </row>
    <row r="456" spans="1:14" s="47" customFormat="1" ht="36" customHeight="1">
      <c r="A456" s="28" t="s">
        <v>41</v>
      </c>
      <c r="B456" s="16" t="s">
        <v>281</v>
      </c>
      <c r="C456" s="15" t="s">
        <v>42</v>
      </c>
      <c r="D456" s="13">
        <f>1358.8-150.5</f>
        <v>1208.3</v>
      </c>
      <c r="E456" s="13">
        <f t="shared" si="40"/>
        <v>-1208.3</v>
      </c>
      <c r="F456" s="13"/>
      <c r="G456" s="13">
        <f>1358.8-150.5</f>
        <v>1208.3</v>
      </c>
      <c r="H456" s="178">
        <f t="shared" si="34"/>
        <v>-1208.3</v>
      </c>
      <c r="I456" s="180">
        <v>0</v>
      </c>
      <c r="J456" s="180">
        <v>0</v>
      </c>
      <c r="K456" s="181">
        <f>I456-J456</f>
        <v>0</v>
      </c>
      <c r="L456" s="1"/>
      <c r="M456" s="1"/>
      <c r="N456" s="1"/>
    </row>
    <row r="457" spans="1:14" s="47" customFormat="1" ht="25.5" customHeight="1">
      <c r="A457" s="28" t="s">
        <v>276</v>
      </c>
      <c r="B457" s="16" t="s">
        <v>281</v>
      </c>
      <c r="C457" s="15" t="s">
        <v>44</v>
      </c>
      <c r="D457" s="13">
        <f>361.3-45.5</f>
        <v>315.8</v>
      </c>
      <c r="E457" s="13">
        <f t="shared" si="40"/>
        <v>-315.8</v>
      </c>
      <c r="F457" s="13"/>
      <c r="G457" s="13">
        <f>361.3-45.5</f>
        <v>315.8</v>
      </c>
      <c r="H457" s="178">
        <f t="shared" si="34"/>
        <v>-315.8</v>
      </c>
      <c r="I457" s="180">
        <v>0</v>
      </c>
      <c r="J457" s="180">
        <v>0</v>
      </c>
      <c r="K457" s="181">
        <f>I457-J457</f>
        <v>0</v>
      </c>
      <c r="L457" s="1"/>
      <c r="M457" s="1"/>
      <c r="N457" s="1"/>
    </row>
    <row r="458" spans="1:14" s="47" customFormat="1" ht="51" customHeight="1">
      <c r="A458" s="28" t="s">
        <v>45</v>
      </c>
      <c r="B458" s="16" t="s">
        <v>282</v>
      </c>
      <c r="C458" s="15"/>
      <c r="D458" s="13">
        <f>SUM(D459:D460)</f>
        <v>4.0999999999999996</v>
      </c>
      <c r="E458" s="13">
        <f t="shared" si="40"/>
        <v>-4.0999999999999996</v>
      </c>
      <c r="F458" s="13"/>
      <c r="G458" s="13">
        <f>SUM(G459:G460)</f>
        <v>4.0999999999999996</v>
      </c>
      <c r="H458" s="178">
        <f t="shared" ref="H458:H521" si="41">I458-G458</f>
        <v>-4.0999999999999996</v>
      </c>
      <c r="I458" s="180">
        <v>0</v>
      </c>
      <c r="J458" s="180">
        <v>0</v>
      </c>
      <c r="K458" s="1"/>
      <c r="L458" s="1"/>
      <c r="M458" s="1"/>
      <c r="N458" s="1"/>
    </row>
    <row r="459" spans="1:14" s="47" customFormat="1" ht="52.5" customHeight="1">
      <c r="A459" s="28" t="s">
        <v>46</v>
      </c>
      <c r="B459" s="16" t="s">
        <v>282</v>
      </c>
      <c r="C459" s="4" t="s">
        <v>47</v>
      </c>
      <c r="D459" s="13"/>
      <c r="E459" s="13">
        <f t="shared" si="40"/>
        <v>0</v>
      </c>
      <c r="F459" s="13"/>
      <c r="G459" s="13"/>
      <c r="H459" s="178">
        <f t="shared" si="41"/>
        <v>0</v>
      </c>
      <c r="I459" s="180">
        <v>0</v>
      </c>
      <c r="J459" s="180">
        <v>0</v>
      </c>
      <c r="K459" s="181">
        <f>I459-J459</f>
        <v>0</v>
      </c>
      <c r="L459" s="1"/>
      <c r="M459" s="1"/>
      <c r="N459" s="1"/>
    </row>
    <row r="460" spans="1:14" s="47" customFormat="1" ht="177.75" customHeight="1">
      <c r="A460" s="28" t="s">
        <v>19</v>
      </c>
      <c r="B460" s="16" t="s">
        <v>282</v>
      </c>
      <c r="C460" s="4">
        <v>244</v>
      </c>
      <c r="D460" s="13">
        <f>1.7+2.4</f>
        <v>4.0999999999999996</v>
      </c>
      <c r="E460" s="13">
        <f t="shared" si="40"/>
        <v>-4.0999999999999996</v>
      </c>
      <c r="F460" s="13"/>
      <c r="G460" s="13">
        <f>1.7+2.4</f>
        <v>4.0999999999999996</v>
      </c>
      <c r="H460" s="178">
        <f t="shared" si="41"/>
        <v>-4.0999999999999996</v>
      </c>
      <c r="I460" s="180">
        <v>0</v>
      </c>
      <c r="J460" s="180">
        <v>0</v>
      </c>
      <c r="K460" s="181">
        <f>I460-J460</f>
        <v>0</v>
      </c>
      <c r="L460" s="1"/>
      <c r="M460" s="1"/>
      <c r="N460" s="1"/>
    </row>
    <row r="461" spans="1:14" s="47" customFormat="1" ht="49.5" customHeight="1">
      <c r="A461" s="28" t="s">
        <v>275</v>
      </c>
      <c r="B461" s="16" t="s">
        <v>283</v>
      </c>
      <c r="C461" s="15"/>
      <c r="D461" s="17">
        <f>D462</f>
        <v>3511.6</v>
      </c>
      <c r="E461" s="13">
        <f t="shared" si="40"/>
        <v>-3511.6</v>
      </c>
      <c r="F461" s="17"/>
      <c r="G461" s="17">
        <f>G462</f>
        <v>3511.6</v>
      </c>
      <c r="H461" s="178">
        <f t="shared" si="41"/>
        <v>-3511.6</v>
      </c>
      <c r="I461" s="180">
        <v>0</v>
      </c>
      <c r="J461" s="180">
        <v>0</v>
      </c>
      <c r="K461" s="129"/>
      <c r="L461" s="1"/>
      <c r="M461" s="1"/>
      <c r="N461" s="1"/>
    </row>
    <row r="462" spans="1:14" s="47" customFormat="1" ht="45.75" customHeight="1">
      <c r="A462" s="28" t="s">
        <v>324</v>
      </c>
      <c r="B462" s="16" t="s">
        <v>284</v>
      </c>
      <c r="C462" s="15"/>
      <c r="D462" s="17">
        <f>D463+D466</f>
        <v>3511.6</v>
      </c>
      <c r="E462" s="13">
        <f t="shared" si="40"/>
        <v>-3511.6</v>
      </c>
      <c r="F462" s="17"/>
      <c r="G462" s="17">
        <f>G463+G466</f>
        <v>3511.6</v>
      </c>
      <c r="H462" s="178">
        <f t="shared" si="41"/>
        <v>-3511.6</v>
      </c>
      <c r="I462" s="180">
        <v>0</v>
      </c>
      <c r="J462" s="180">
        <v>0</v>
      </c>
      <c r="K462" s="129"/>
      <c r="L462" s="1"/>
      <c r="M462" s="1"/>
      <c r="N462" s="1"/>
    </row>
    <row r="463" spans="1:14" s="47" customFormat="1" ht="35.25" customHeight="1">
      <c r="A463" s="28" t="s">
        <v>103</v>
      </c>
      <c r="B463" s="16" t="s">
        <v>285</v>
      </c>
      <c r="C463" s="15"/>
      <c r="D463" s="17">
        <f>SUBTOTAL(9,D464:D465)</f>
        <v>3511.6</v>
      </c>
      <c r="E463" s="13">
        <f t="shared" si="40"/>
        <v>-3511.6</v>
      </c>
      <c r="F463" s="17"/>
      <c r="G463" s="17">
        <f>SUBTOTAL(9,G464:G465)</f>
        <v>3511.6</v>
      </c>
      <c r="H463" s="178">
        <f t="shared" si="41"/>
        <v>-3511.6</v>
      </c>
      <c r="I463" s="180">
        <v>0</v>
      </c>
      <c r="J463" s="180">
        <v>0</v>
      </c>
      <c r="K463" s="129"/>
      <c r="L463" s="1"/>
      <c r="M463" s="1"/>
      <c r="N463" s="1"/>
    </row>
    <row r="464" spans="1:14" s="47" customFormat="1" ht="32.25" customHeight="1">
      <c r="A464" s="28" t="s">
        <v>104</v>
      </c>
      <c r="B464" s="16" t="s">
        <v>285</v>
      </c>
      <c r="C464" s="15" t="s">
        <v>42</v>
      </c>
      <c r="D464" s="17">
        <v>2697.1</v>
      </c>
      <c r="E464" s="13">
        <f t="shared" si="40"/>
        <v>-2697.1</v>
      </c>
      <c r="F464" s="17"/>
      <c r="G464" s="17">
        <v>2697.1</v>
      </c>
      <c r="H464" s="178">
        <f t="shared" si="41"/>
        <v>-2697.1</v>
      </c>
      <c r="I464" s="180">
        <v>0</v>
      </c>
      <c r="J464" s="180">
        <v>0</v>
      </c>
      <c r="K464" s="181">
        <f>I464-J464</f>
        <v>0</v>
      </c>
      <c r="L464" s="1"/>
      <c r="M464" s="1"/>
      <c r="N464" s="1"/>
    </row>
    <row r="465" spans="1:14" s="47" customFormat="1" ht="17.25" customHeight="1">
      <c r="A465" s="28" t="s">
        <v>276</v>
      </c>
      <c r="B465" s="16" t="s">
        <v>285</v>
      </c>
      <c r="C465" s="15" t="s">
        <v>44</v>
      </c>
      <c r="D465" s="17">
        <v>814.5</v>
      </c>
      <c r="E465" s="13">
        <f t="shared" si="40"/>
        <v>-814.5</v>
      </c>
      <c r="F465" s="17"/>
      <c r="G465" s="17">
        <v>814.5</v>
      </c>
      <c r="H465" s="178">
        <f t="shared" si="41"/>
        <v>-814.5</v>
      </c>
      <c r="I465" s="180">
        <v>0</v>
      </c>
      <c r="J465" s="180">
        <v>0</v>
      </c>
      <c r="K465" s="181">
        <f>I465-J465</f>
        <v>0</v>
      </c>
      <c r="L465" s="1"/>
      <c r="M465" s="1"/>
      <c r="N465" s="1"/>
    </row>
    <row r="466" spans="1:14" s="47" customFormat="1" ht="30.75" customHeight="1">
      <c r="A466" s="28" t="s">
        <v>277</v>
      </c>
      <c r="B466" s="16" t="s">
        <v>286</v>
      </c>
      <c r="C466" s="15"/>
      <c r="D466" s="17">
        <f>SUBTOTAL(9,D467:D467)</f>
        <v>0</v>
      </c>
      <c r="E466" s="13">
        <f t="shared" si="40"/>
        <v>0</v>
      </c>
      <c r="F466" s="17"/>
      <c r="G466" s="17">
        <f>SUBTOTAL(9,G467:G467)</f>
        <v>0</v>
      </c>
      <c r="H466" s="178">
        <f t="shared" si="41"/>
        <v>0</v>
      </c>
      <c r="I466" s="180">
        <v>0</v>
      </c>
      <c r="J466" s="180">
        <v>0</v>
      </c>
      <c r="K466" s="129"/>
      <c r="L466" s="1"/>
      <c r="M466" s="1"/>
      <c r="N466" s="1"/>
    </row>
    <row r="467" spans="1:14" s="47" customFormat="1" ht="37.5" customHeight="1">
      <c r="A467" s="28" t="s">
        <v>105</v>
      </c>
      <c r="B467" s="16" t="s">
        <v>286</v>
      </c>
      <c r="C467" s="4" t="s">
        <v>47</v>
      </c>
      <c r="D467" s="17"/>
      <c r="E467" s="13">
        <f t="shared" si="40"/>
        <v>0</v>
      </c>
      <c r="F467" s="17"/>
      <c r="G467" s="17"/>
      <c r="H467" s="178">
        <f t="shared" si="41"/>
        <v>0</v>
      </c>
      <c r="I467" s="180">
        <v>0</v>
      </c>
      <c r="J467" s="180">
        <v>0</v>
      </c>
      <c r="K467" s="181">
        <f>I467-J467</f>
        <v>0</v>
      </c>
      <c r="L467" s="1"/>
      <c r="M467" s="1"/>
      <c r="N467" s="1"/>
    </row>
    <row r="468" spans="1:14" s="47" customFormat="1" ht="30" customHeight="1">
      <c r="A468" s="28" t="s">
        <v>325</v>
      </c>
      <c r="B468" s="16" t="s">
        <v>287</v>
      </c>
      <c r="C468" s="4"/>
      <c r="D468" s="17">
        <f>D469</f>
        <v>5031.3499999999995</v>
      </c>
      <c r="E468" s="13">
        <f t="shared" si="40"/>
        <v>-5031.3499999999995</v>
      </c>
      <c r="F468" s="17"/>
      <c r="G468" s="17">
        <f>G469</f>
        <v>5031.3499999999995</v>
      </c>
      <c r="H468" s="178">
        <f t="shared" si="41"/>
        <v>-5031.3499999999995</v>
      </c>
      <c r="I468" s="180">
        <v>0</v>
      </c>
      <c r="J468" s="180">
        <v>0</v>
      </c>
      <c r="K468" s="129"/>
      <c r="L468" s="1"/>
      <c r="M468" s="1"/>
      <c r="N468" s="1"/>
    </row>
    <row r="469" spans="1:14" s="47" customFormat="1" ht="23.25" customHeight="1">
      <c r="A469" s="28" t="s">
        <v>106</v>
      </c>
      <c r="B469" s="16" t="s">
        <v>288</v>
      </c>
      <c r="C469" s="4"/>
      <c r="D469" s="17">
        <f>D470+D473</f>
        <v>5031.3499999999995</v>
      </c>
      <c r="E469" s="13">
        <f t="shared" si="40"/>
        <v>-5031.3499999999995</v>
      </c>
      <c r="F469" s="17"/>
      <c r="G469" s="17">
        <f>G470+G473</f>
        <v>5031.3499999999995</v>
      </c>
      <c r="H469" s="178">
        <f t="shared" si="41"/>
        <v>-5031.3499999999995</v>
      </c>
      <c r="I469" s="180">
        <v>0</v>
      </c>
      <c r="J469" s="180">
        <v>0</v>
      </c>
      <c r="K469" s="129"/>
      <c r="L469" s="1"/>
      <c r="M469" s="1"/>
      <c r="N469" s="1"/>
    </row>
    <row r="470" spans="1:14" s="47" customFormat="1" ht="15" customHeight="1">
      <c r="A470" s="28" t="s">
        <v>107</v>
      </c>
      <c r="B470" s="16" t="s">
        <v>289</v>
      </c>
      <c r="C470" s="4"/>
      <c r="D470" s="17">
        <f>SUBTOTAL(9,D471:D472)</f>
        <v>4458.3999999999996</v>
      </c>
      <c r="E470" s="13">
        <f t="shared" si="40"/>
        <v>-4458.3999999999996</v>
      </c>
      <c r="F470" s="17"/>
      <c r="G470" s="17">
        <f>SUBTOTAL(9,G471:G472)</f>
        <v>4458.3999999999996</v>
      </c>
      <c r="H470" s="178">
        <f t="shared" si="41"/>
        <v>-4458.3999999999996</v>
      </c>
      <c r="I470" s="180">
        <v>0</v>
      </c>
      <c r="J470" s="180">
        <v>0</v>
      </c>
      <c r="K470" s="129"/>
      <c r="L470" s="1"/>
      <c r="M470" s="1"/>
      <c r="N470" s="1"/>
    </row>
    <row r="471" spans="1:14" ht="15" customHeight="1">
      <c r="A471" s="28" t="s">
        <v>104</v>
      </c>
      <c r="B471" s="16" t="s">
        <v>289</v>
      </c>
      <c r="C471" s="15" t="s">
        <v>42</v>
      </c>
      <c r="D471" s="17">
        <f>3854.4-430</f>
        <v>3424.4</v>
      </c>
      <c r="E471" s="13">
        <f t="shared" si="40"/>
        <v>-3424.4</v>
      </c>
      <c r="F471" s="17"/>
      <c r="G471" s="17">
        <f>3854.4-430</f>
        <v>3424.4</v>
      </c>
      <c r="H471" s="178">
        <f t="shared" si="41"/>
        <v>-3424.4</v>
      </c>
      <c r="I471" s="180">
        <v>0</v>
      </c>
      <c r="J471" s="180">
        <v>0</v>
      </c>
      <c r="K471" s="181">
        <f>I471-J471</f>
        <v>0</v>
      </c>
    </row>
    <row r="472" spans="1:14" ht="25.5" customHeight="1">
      <c r="A472" s="28" t="s">
        <v>276</v>
      </c>
      <c r="B472" s="16" t="s">
        <v>289</v>
      </c>
      <c r="C472" s="15" t="s">
        <v>44</v>
      </c>
      <c r="D472" s="17">
        <f>1164-130</f>
        <v>1034</v>
      </c>
      <c r="E472" s="13">
        <f t="shared" si="40"/>
        <v>-1034</v>
      </c>
      <c r="F472" s="17"/>
      <c r="G472" s="17">
        <f>1164-130</f>
        <v>1034</v>
      </c>
      <c r="H472" s="178">
        <f t="shared" si="41"/>
        <v>-1034</v>
      </c>
      <c r="I472" s="180">
        <v>0</v>
      </c>
      <c r="J472" s="180">
        <v>0</v>
      </c>
      <c r="K472" s="181">
        <f>I472-J472</f>
        <v>0</v>
      </c>
    </row>
    <row r="473" spans="1:14" ht="25.5" customHeight="1">
      <c r="A473" s="28" t="s">
        <v>108</v>
      </c>
      <c r="B473" s="16" t="s">
        <v>290</v>
      </c>
      <c r="C473" s="4"/>
      <c r="D473" s="17">
        <f>SUM(D474:D477)</f>
        <v>572.94999999999993</v>
      </c>
      <c r="E473" s="13">
        <f t="shared" si="40"/>
        <v>-572.94999999999993</v>
      </c>
      <c r="F473" s="17"/>
      <c r="G473" s="17">
        <f>SUM(G474:G477)</f>
        <v>572.94999999999993</v>
      </c>
      <c r="H473" s="178">
        <f t="shared" si="41"/>
        <v>-572.94999999999993</v>
      </c>
      <c r="I473" s="180">
        <v>0</v>
      </c>
      <c r="J473" s="180">
        <v>0</v>
      </c>
      <c r="K473" s="129"/>
    </row>
    <row r="474" spans="1:14" ht="15.75" customHeight="1">
      <c r="A474" s="28" t="s">
        <v>46</v>
      </c>
      <c r="B474" s="16" t="s">
        <v>290</v>
      </c>
      <c r="C474" s="15" t="s">
        <v>47</v>
      </c>
      <c r="D474" s="17"/>
      <c r="E474" s="13">
        <f t="shared" si="40"/>
        <v>0</v>
      </c>
      <c r="F474" s="17"/>
      <c r="G474" s="17"/>
      <c r="H474" s="178">
        <f t="shared" si="41"/>
        <v>0</v>
      </c>
      <c r="I474" s="180">
        <v>0</v>
      </c>
      <c r="J474" s="180">
        <v>0</v>
      </c>
      <c r="K474" s="181">
        <f>I474-J474</f>
        <v>0</v>
      </c>
    </row>
    <row r="475" spans="1:14" ht="28.5" customHeight="1">
      <c r="A475" s="28" t="s">
        <v>19</v>
      </c>
      <c r="B475" s="16" t="s">
        <v>290</v>
      </c>
      <c r="C475" s="4">
        <v>244</v>
      </c>
      <c r="D475" s="17">
        <f>31.8+20+12.35+100+377+30</f>
        <v>571.15</v>
      </c>
      <c r="E475" s="13">
        <f t="shared" si="40"/>
        <v>-571.15</v>
      </c>
      <c r="F475" s="17"/>
      <c r="G475" s="17">
        <f>31.8+20+12.35+100+377+30</f>
        <v>571.15</v>
      </c>
      <c r="H475" s="178">
        <f t="shared" si="41"/>
        <v>-571.15</v>
      </c>
      <c r="I475" s="180">
        <v>0</v>
      </c>
      <c r="J475" s="180">
        <v>0</v>
      </c>
      <c r="K475" s="181">
        <f>I475-J475</f>
        <v>0</v>
      </c>
    </row>
    <row r="476" spans="1:14" ht="24.75" customHeight="1">
      <c r="A476" s="28" t="s">
        <v>32</v>
      </c>
      <c r="B476" s="16" t="s">
        <v>290</v>
      </c>
      <c r="C476" s="4" t="s">
        <v>33</v>
      </c>
      <c r="D476" s="17">
        <v>1.8</v>
      </c>
      <c r="E476" s="13">
        <f t="shared" si="40"/>
        <v>-1.8</v>
      </c>
      <c r="F476" s="17"/>
      <c r="G476" s="17">
        <v>1.8</v>
      </c>
      <c r="H476" s="178">
        <f t="shared" si="41"/>
        <v>-1.8</v>
      </c>
      <c r="I476" s="180">
        <v>0</v>
      </c>
      <c r="J476" s="180">
        <v>0</v>
      </c>
      <c r="K476" s="181">
        <f>I476-J476</f>
        <v>0</v>
      </c>
    </row>
    <row r="477" spans="1:14" ht="25.5" customHeight="1">
      <c r="A477" s="28" t="s">
        <v>21</v>
      </c>
      <c r="B477" s="16" t="s">
        <v>290</v>
      </c>
      <c r="C477" s="4" t="s">
        <v>22</v>
      </c>
      <c r="D477" s="17"/>
      <c r="E477" s="13">
        <f t="shared" si="40"/>
        <v>0</v>
      </c>
      <c r="F477" s="17"/>
      <c r="G477" s="17"/>
      <c r="H477" s="178">
        <f t="shared" si="41"/>
        <v>0</v>
      </c>
      <c r="I477" s="180">
        <v>0</v>
      </c>
      <c r="J477" s="180">
        <v>0</v>
      </c>
      <c r="K477" s="181">
        <f>I477-J477</f>
        <v>0</v>
      </c>
    </row>
    <row r="478" spans="1:14" ht="28.5" customHeight="1">
      <c r="A478" s="28" t="s">
        <v>110</v>
      </c>
      <c r="B478" s="16" t="s">
        <v>293</v>
      </c>
      <c r="C478" s="4"/>
      <c r="D478" s="17">
        <f>D479+D482+D488+D486</f>
        <v>11187.48</v>
      </c>
      <c r="E478" s="13">
        <f t="shared" si="40"/>
        <v>-11187.48</v>
      </c>
      <c r="F478" s="17"/>
      <c r="G478" s="17">
        <f>G479+G482+G488+G486</f>
        <v>11187.48</v>
      </c>
      <c r="H478" s="178">
        <f t="shared" si="41"/>
        <v>-11187.48</v>
      </c>
      <c r="I478" s="180">
        <v>0</v>
      </c>
      <c r="J478" s="180">
        <v>0</v>
      </c>
      <c r="K478" s="129"/>
    </row>
    <row r="479" spans="1:14" ht="16.5" customHeight="1">
      <c r="A479" s="28" t="s">
        <v>111</v>
      </c>
      <c r="B479" s="16" t="s">
        <v>294</v>
      </c>
      <c r="C479" s="4"/>
      <c r="D479" s="17">
        <f>SUBTOTAL(9,D480:D481)</f>
        <v>5463.2999999999993</v>
      </c>
      <c r="E479" s="13">
        <f t="shared" si="40"/>
        <v>-5463.2999999999993</v>
      </c>
      <c r="F479" s="17"/>
      <c r="G479" s="17">
        <f>SUBTOTAL(9,G480:G481)</f>
        <v>5463.2999999999993</v>
      </c>
      <c r="H479" s="178">
        <f t="shared" si="41"/>
        <v>-5463.2999999999993</v>
      </c>
      <c r="I479" s="180">
        <v>0</v>
      </c>
      <c r="J479" s="180">
        <v>0</v>
      </c>
      <c r="K479" s="129"/>
    </row>
    <row r="480" spans="1:14" ht="25.5" customHeight="1">
      <c r="A480" s="28" t="s">
        <v>10</v>
      </c>
      <c r="B480" s="16" t="s">
        <v>294</v>
      </c>
      <c r="C480" s="4" t="s">
        <v>11</v>
      </c>
      <c r="D480" s="17">
        <f>4561.7-322.6</f>
        <v>4239.0999999999995</v>
      </c>
      <c r="E480" s="13">
        <f t="shared" si="40"/>
        <v>-4239.0999999999995</v>
      </c>
      <c r="F480" s="17"/>
      <c r="G480" s="17">
        <f>4561.7-322.6</f>
        <v>4239.0999999999995</v>
      </c>
      <c r="H480" s="178">
        <f t="shared" si="41"/>
        <v>-4239.0999999999995</v>
      </c>
      <c r="I480" s="180">
        <v>0</v>
      </c>
      <c r="J480" s="180">
        <v>0</v>
      </c>
      <c r="K480" s="181">
        <f>I480-J480</f>
        <v>0</v>
      </c>
    </row>
    <row r="481" spans="1:14" ht="25.5" customHeight="1">
      <c r="A481" s="28" t="s">
        <v>12</v>
      </c>
      <c r="B481" s="16" t="s">
        <v>294</v>
      </c>
      <c r="C481" s="15" t="s">
        <v>13</v>
      </c>
      <c r="D481" s="17">
        <f>1321.6-97.4</f>
        <v>1224.1999999999998</v>
      </c>
      <c r="E481" s="13">
        <f t="shared" si="40"/>
        <v>-1224.1999999999998</v>
      </c>
      <c r="F481" s="17"/>
      <c r="G481" s="17">
        <f>1321.6-97.4</f>
        <v>1224.1999999999998</v>
      </c>
      <c r="H481" s="178">
        <f t="shared" si="41"/>
        <v>-1224.1999999999998</v>
      </c>
      <c r="I481" s="180">
        <v>0</v>
      </c>
      <c r="J481" s="180">
        <v>0</v>
      </c>
      <c r="K481" s="181">
        <f>I481-J481</f>
        <v>0</v>
      </c>
    </row>
    <row r="482" spans="1:14" ht="25.5" customHeight="1">
      <c r="A482" s="28" t="s">
        <v>112</v>
      </c>
      <c r="B482" s="16" t="s">
        <v>295</v>
      </c>
      <c r="C482" s="15"/>
      <c r="D482" s="17">
        <f>SUBTOTAL(9,D483:D485)</f>
        <v>1427.52</v>
      </c>
      <c r="E482" s="13">
        <f t="shared" si="40"/>
        <v>-1427.52</v>
      </c>
      <c r="F482" s="17"/>
      <c r="G482" s="17">
        <f>SUBTOTAL(9,G483:G485)</f>
        <v>1427.52</v>
      </c>
      <c r="H482" s="178">
        <f t="shared" si="41"/>
        <v>-1427.52</v>
      </c>
      <c r="I482" s="180">
        <v>0</v>
      </c>
      <c r="J482" s="180">
        <v>0</v>
      </c>
      <c r="K482" s="129"/>
    </row>
    <row r="483" spans="1:14" ht="17.25" customHeight="1">
      <c r="A483" s="32" t="s">
        <v>15</v>
      </c>
      <c r="B483" s="16" t="s">
        <v>295</v>
      </c>
      <c r="C483" s="15" t="s">
        <v>16</v>
      </c>
      <c r="D483" s="17"/>
      <c r="E483" s="13">
        <f t="shared" si="40"/>
        <v>0</v>
      </c>
      <c r="F483" s="17"/>
      <c r="G483" s="17"/>
      <c r="H483" s="178">
        <f t="shared" si="41"/>
        <v>0</v>
      </c>
      <c r="I483" s="180">
        <v>0</v>
      </c>
      <c r="J483" s="180">
        <v>0</v>
      </c>
      <c r="K483" s="181">
        <f>I483-J483</f>
        <v>0</v>
      </c>
    </row>
    <row r="484" spans="1:14" ht="39.75" customHeight="1">
      <c r="A484" s="28" t="s">
        <v>19</v>
      </c>
      <c r="B484" s="16" t="s">
        <v>295</v>
      </c>
      <c r="C484" s="4">
        <v>244</v>
      </c>
      <c r="D484" s="17">
        <f>75.84+503.38+100.4+227.56+188.04</f>
        <v>1095.22</v>
      </c>
      <c r="E484" s="13">
        <f t="shared" si="40"/>
        <v>-1095.22</v>
      </c>
      <c r="F484" s="17"/>
      <c r="G484" s="17">
        <f>75.84+503.38+100.4+227.56+188.04</f>
        <v>1095.22</v>
      </c>
      <c r="H484" s="178">
        <f t="shared" si="41"/>
        <v>-1095.22</v>
      </c>
      <c r="I484" s="180">
        <v>0</v>
      </c>
      <c r="J484" s="180">
        <v>0</v>
      </c>
      <c r="K484" s="181">
        <f>I484-J484</f>
        <v>0</v>
      </c>
    </row>
    <row r="485" spans="1:14" ht="25.5" customHeight="1">
      <c r="A485" s="28" t="s">
        <v>30</v>
      </c>
      <c r="B485" s="16" t="s">
        <v>295</v>
      </c>
      <c r="C485" s="4" t="s">
        <v>31</v>
      </c>
      <c r="D485" s="17">
        <v>332.3</v>
      </c>
      <c r="E485" s="13">
        <f t="shared" si="40"/>
        <v>-332.3</v>
      </c>
      <c r="F485" s="17"/>
      <c r="G485" s="17">
        <v>332.3</v>
      </c>
      <c r="H485" s="178">
        <f t="shared" si="41"/>
        <v>-332.3</v>
      </c>
      <c r="I485" s="180">
        <v>0</v>
      </c>
      <c r="J485" s="180">
        <v>0</v>
      </c>
      <c r="K485" s="181">
        <f>I485-J485</f>
        <v>0</v>
      </c>
    </row>
    <row r="486" spans="1:14" ht="25.5" customHeight="1">
      <c r="A486" s="28" t="s">
        <v>308</v>
      </c>
      <c r="B486" s="16" t="s">
        <v>306</v>
      </c>
      <c r="C486" s="4"/>
      <c r="D486" s="17">
        <f>D487</f>
        <v>912.44</v>
      </c>
      <c r="E486" s="13">
        <f t="shared" si="40"/>
        <v>-912.44</v>
      </c>
      <c r="F486" s="17"/>
      <c r="G486" s="17">
        <f>G487</f>
        <v>912.44</v>
      </c>
      <c r="H486" s="178">
        <f t="shared" si="41"/>
        <v>-912.44</v>
      </c>
      <c r="I486" s="180">
        <v>0</v>
      </c>
      <c r="J486" s="180">
        <v>0</v>
      </c>
      <c r="K486" s="129"/>
    </row>
    <row r="487" spans="1:14" ht="25.5" customHeight="1">
      <c r="A487" s="28" t="s">
        <v>19</v>
      </c>
      <c r="B487" s="16" t="s">
        <v>306</v>
      </c>
      <c r="C487" s="4" t="s">
        <v>20</v>
      </c>
      <c r="D487" s="17">
        <v>912.44</v>
      </c>
      <c r="E487" s="13">
        <f t="shared" si="40"/>
        <v>-912.44</v>
      </c>
      <c r="F487" s="17"/>
      <c r="G487" s="17">
        <v>912.44</v>
      </c>
      <c r="H487" s="178">
        <f t="shared" si="41"/>
        <v>-912.44</v>
      </c>
      <c r="I487" s="180">
        <v>0</v>
      </c>
      <c r="J487" s="180">
        <v>0</v>
      </c>
      <c r="K487" s="181">
        <f>I487-J487</f>
        <v>0</v>
      </c>
    </row>
    <row r="488" spans="1:14" ht="25.5" customHeight="1">
      <c r="A488" s="14" t="s">
        <v>297</v>
      </c>
      <c r="B488" s="16" t="s">
        <v>487</v>
      </c>
      <c r="C488" s="4"/>
      <c r="D488" s="17">
        <f>D489</f>
        <v>3384.22</v>
      </c>
      <c r="E488" s="13">
        <f t="shared" si="40"/>
        <v>-3384.22</v>
      </c>
      <c r="F488" s="17"/>
      <c r="G488" s="17">
        <f>G489</f>
        <v>3384.22</v>
      </c>
      <c r="H488" s="178">
        <f t="shared" si="41"/>
        <v>-3384.22</v>
      </c>
      <c r="I488" s="180">
        <v>0</v>
      </c>
      <c r="J488" s="180">
        <v>0</v>
      </c>
      <c r="K488" s="129"/>
    </row>
    <row r="489" spans="1:14" ht="15" customHeight="1">
      <c r="A489" s="14" t="s">
        <v>19</v>
      </c>
      <c r="B489" s="16" t="s">
        <v>487</v>
      </c>
      <c r="C489" s="4" t="s">
        <v>20</v>
      </c>
      <c r="D489" s="17">
        <v>3384.22</v>
      </c>
      <c r="E489" s="13">
        <f t="shared" si="40"/>
        <v>-3384.22</v>
      </c>
      <c r="F489" s="17"/>
      <c r="G489" s="17">
        <v>3384.22</v>
      </c>
      <c r="H489" s="178">
        <f t="shared" si="41"/>
        <v>-3384.22</v>
      </c>
      <c r="I489" s="180">
        <v>0</v>
      </c>
      <c r="J489" s="180">
        <v>0</v>
      </c>
      <c r="K489" s="181">
        <f>I489-J489</f>
        <v>0</v>
      </c>
    </row>
    <row r="490" spans="1:14" ht="43.5" customHeight="1">
      <c r="A490" s="28" t="s">
        <v>322</v>
      </c>
      <c r="B490" s="15" t="s">
        <v>320</v>
      </c>
      <c r="C490" s="11"/>
      <c r="D490" s="17">
        <f>D491</f>
        <v>6180.98</v>
      </c>
      <c r="E490" s="13">
        <f t="shared" si="40"/>
        <v>7634.7800000000007</v>
      </c>
      <c r="F490" s="17">
        <f>F491</f>
        <v>13815.76</v>
      </c>
      <c r="G490" s="17">
        <f>G491</f>
        <v>6180.98</v>
      </c>
      <c r="H490" s="178">
        <f t="shared" si="41"/>
        <v>6758.84</v>
      </c>
      <c r="I490" s="17">
        <f>I491</f>
        <v>12939.82</v>
      </c>
      <c r="J490" s="169">
        <f>J491</f>
        <v>12939.82</v>
      </c>
      <c r="K490" s="129"/>
      <c r="L490" s="47"/>
      <c r="M490" s="47"/>
      <c r="N490" s="47"/>
    </row>
    <row r="491" spans="1:14" ht="25.5" hidden="1" customHeight="1">
      <c r="A491" s="28" t="s">
        <v>322</v>
      </c>
      <c r="B491" s="15" t="s">
        <v>320</v>
      </c>
      <c r="C491" s="54"/>
      <c r="D491" s="17">
        <f>D492</f>
        <v>6180.98</v>
      </c>
      <c r="E491" s="13">
        <f t="shared" si="40"/>
        <v>7634.7800000000007</v>
      </c>
      <c r="F491" s="17">
        <f>F492</f>
        <v>13815.76</v>
      </c>
      <c r="G491" s="17">
        <f>G492</f>
        <v>6180.98</v>
      </c>
      <c r="H491" s="178">
        <f t="shared" si="41"/>
        <v>6758.84</v>
      </c>
      <c r="I491" s="17">
        <f>I492</f>
        <v>12939.82</v>
      </c>
      <c r="J491" s="169">
        <f>J492</f>
        <v>12939.82</v>
      </c>
      <c r="K491" s="129"/>
      <c r="L491" s="47"/>
      <c r="M491" s="47"/>
      <c r="N491" s="47"/>
    </row>
    <row r="492" spans="1:14" ht="25.5" hidden="1" customHeight="1">
      <c r="A492" s="28" t="s">
        <v>322</v>
      </c>
      <c r="B492" s="15" t="s">
        <v>320</v>
      </c>
      <c r="C492" s="11"/>
      <c r="D492" s="17">
        <f>D493+D511</f>
        <v>6180.98</v>
      </c>
      <c r="E492" s="13">
        <f t="shared" si="40"/>
        <v>7634.7800000000007</v>
      </c>
      <c r="F492" s="17">
        <f>F494+F511</f>
        <v>13815.76</v>
      </c>
      <c r="G492" s="17">
        <f>G493+G511</f>
        <v>6180.98</v>
      </c>
      <c r="H492" s="178">
        <f t="shared" si="41"/>
        <v>6758.84</v>
      </c>
      <c r="I492" s="17">
        <f>I494+I511</f>
        <v>12939.82</v>
      </c>
      <c r="J492" s="169">
        <f>J494+J511</f>
        <v>12939.82</v>
      </c>
      <c r="K492" s="129"/>
      <c r="L492" s="47"/>
      <c r="M492" s="47"/>
      <c r="N492" s="47"/>
    </row>
    <row r="493" spans="1:14" ht="15" hidden="1" customHeight="1">
      <c r="A493" s="28" t="s">
        <v>322</v>
      </c>
      <c r="B493" s="15" t="s">
        <v>320</v>
      </c>
      <c r="C493" s="4"/>
      <c r="D493" s="17">
        <f>D494</f>
        <v>0</v>
      </c>
      <c r="E493" s="13">
        <f t="shared" si="40"/>
        <v>3582.4199999999996</v>
      </c>
      <c r="F493" s="17">
        <f>F494</f>
        <v>3582.4199999999996</v>
      </c>
      <c r="G493" s="17">
        <f>G494</f>
        <v>0</v>
      </c>
      <c r="H493" s="178">
        <f t="shared" si="41"/>
        <v>3431.86</v>
      </c>
      <c r="I493" s="17">
        <f t="shared" ref="I493:J497" si="42">I494</f>
        <v>3431.86</v>
      </c>
      <c r="J493" s="169">
        <f t="shared" si="42"/>
        <v>3431.86</v>
      </c>
      <c r="K493" s="129"/>
      <c r="L493" s="47"/>
      <c r="M493" s="47"/>
      <c r="N493" s="47"/>
    </row>
    <row r="494" spans="1:14" ht="15" hidden="1" customHeight="1">
      <c r="A494" s="28" t="s">
        <v>322</v>
      </c>
      <c r="B494" s="15" t="s">
        <v>320</v>
      </c>
      <c r="C494" s="4"/>
      <c r="D494" s="17"/>
      <c r="E494" s="13">
        <f t="shared" si="40"/>
        <v>3582.4199999999996</v>
      </c>
      <c r="F494" s="17">
        <f>F495</f>
        <v>3582.4199999999996</v>
      </c>
      <c r="G494" s="17"/>
      <c r="H494" s="178">
        <f t="shared" si="41"/>
        <v>3431.86</v>
      </c>
      <c r="I494" s="17">
        <f t="shared" si="42"/>
        <v>3431.86</v>
      </c>
      <c r="J494" s="169">
        <f t="shared" si="42"/>
        <v>3431.86</v>
      </c>
      <c r="K494" s="129"/>
      <c r="L494" s="47"/>
      <c r="M494" s="47"/>
      <c r="N494" s="47"/>
    </row>
    <row r="495" spans="1:14" ht="25.5" hidden="1" customHeight="1">
      <c r="A495" s="28" t="s">
        <v>322</v>
      </c>
      <c r="B495" s="15" t="s">
        <v>320</v>
      </c>
      <c r="C495" s="54"/>
      <c r="D495" s="17">
        <f>D496</f>
        <v>0</v>
      </c>
      <c r="E495" s="13">
        <f t="shared" si="40"/>
        <v>3582.4199999999996</v>
      </c>
      <c r="F495" s="17">
        <f>F496</f>
        <v>3582.4199999999996</v>
      </c>
      <c r="G495" s="17">
        <f>G496</f>
        <v>0</v>
      </c>
      <c r="H495" s="178">
        <f t="shared" si="41"/>
        <v>3431.86</v>
      </c>
      <c r="I495" s="17">
        <f t="shared" si="42"/>
        <v>3431.86</v>
      </c>
      <c r="J495" s="169">
        <f t="shared" si="42"/>
        <v>3431.86</v>
      </c>
      <c r="K495" s="129"/>
      <c r="L495" s="47"/>
      <c r="M495" s="47"/>
      <c r="N495" s="47"/>
    </row>
    <row r="496" spans="1:14" ht="29.25" hidden="1" customHeight="1">
      <c r="A496" s="28" t="s">
        <v>322</v>
      </c>
      <c r="B496" s="15" t="s">
        <v>320</v>
      </c>
      <c r="C496" s="15"/>
      <c r="D496" s="17">
        <f>D497</f>
        <v>0</v>
      </c>
      <c r="E496" s="13">
        <f t="shared" si="40"/>
        <v>3582.4199999999996</v>
      </c>
      <c r="F496" s="17">
        <f>F497</f>
        <v>3582.4199999999996</v>
      </c>
      <c r="G496" s="17">
        <f>G497</f>
        <v>0</v>
      </c>
      <c r="H496" s="178">
        <f t="shared" si="41"/>
        <v>3431.86</v>
      </c>
      <c r="I496" s="17">
        <f t="shared" si="42"/>
        <v>3431.86</v>
      </c>
      <c r="J496" s="169">
        <f t="shared" si="42"/>
        <v>3431.86</v>
      </c>
      <c r="K496" s="129"/>
    </row>
    <row r="497" spans="1:14" ht="25.5" hidden="1" customHeight="1">
      <c r="A497" s="28" t="s">
        <v>322</v>
      </c>
      <c r="B497" s="15" t="s">
        <v>320</v>
      </c>
      <c r="C497" s="15"/>
      <c r="D497" s="17">
        <f>D498</f>
        <v>0</v>
      </c>
      <c r="E497" s="13">
        <f t="shared" si="40"/>
        <v>3582.4199999999996</v>
      </c>
      <c r="F497" s="17">
        <f>F498</f>
        <v>3582.4199999999996</v>
      </c>
      <c r="G497" s="17">
        <f>G498</f>
        <v>0</v>
      </c>
      <c r="H497" s="178">
        <f t="shared" si="41"/>
        <v>3431.86</v>
      </c>
      <c r="I497" s="17">
        <f t="shared" si="42"/>
        <v>3431.86</v>
      </c>
      <c r="J497" s="169">
        <f t="shared" si="42"/>
        <v>3431.86</v>
      </c>
      <c r="K497" s="129"/>
    </row>
    <row r="498" spans="1:14" ht="25.5" hidden="1" customHeight="1">
      <c r="A498" s="28" t="s">
        <v>322</v>
      </c>
      <c r="B498" s="15" t="s">
        <v>320</v>
      </c>
      <c r="C498" s="7"/>
      <c r="D498" s="17">
        <f>D499</f>
        <v>0</v>
      </c>
      <c r="E498" s="13">
        <f t="shared" si="40"/>
        <v>3582.4199999999996</v>
      </c>
      <c r="F498" s="17">
        <f>F500</f>
        <v>3582.4199999999996</v>
      </c>
      <c r="G498" s="17">
        <f>G499</f>
        <v>0</v>
      </c>
      <c r="H498" s="178">
        <f t="shared" si="41"/>
        <v>3431.86</v>
      </c>
      <c r="I498" s="17">
        <f>I500</f>
        <v>3431.86</v>
      </c>
      <c r="J498" s="169">
        <f>J500</f>
        <v>3431.86</v>
      </c>
      <c r="K498" s="129"/>
    </row>
    <row r="499" spans="1:14" ht="38.25" hidden="1" customHeight="1">
      <c r="A499" s="28" t="s">
        <v>322</v>
      </c>
      <c r="B499" s="15" t="s">
        <v>320</v>
      </c>
      <c r="C499" s="10"/>
      <c r="D499" s="17">
        <f>D500</f>
        <v>0</v>
      </c>
      <c r="E499" s="13">
        <f t="shared" si="40"/>
        <v>3582.4199999999996</v>
      </c>
      <c r="F499" s="17">
        <f>F500</f>
        <v>3582.4199999999996</v>
      </c>
      <c r="G499" s="17">
        <f>G500</f>
        <v>0</v>
      </c>
      <c r="H499" s="178">
        <f t="shared" si="41"/>
        <v>3431.86</v>
      </c>
      <c r="I499" s="17">
        <f t="shared" ref="I499:J501" si="43">I500</f>
        <v>3431.86</v>
      </c>
      <c r="J499" s="169">
        <f t="shared" si="43"/>
        <v>3431.86</v>
      </c>
      <c r="K499" s="129"/>
      <c r="L499" s="47"/>
      <c r="M499" s="47"/>
      <c r="N499" s="47"/>
    </row>
    <row r="500" spans="1:14" ht="15" customHeight="1">
      <c r="A500" s="28" t="s">
        <v>418</v>
      </c>
      <c r="B500" s="15" t="s">
        <v>627</v>
      </c>
      <c r="C500" s="11"/>
      <c r="D500" s="17"/>
      <c r="E500" s="13">
        <f t="shared" si="40"/>
        <v>3582.4199999999996</v>
      </c>
      <c r="F500" s="17">
        <f>F501</f>
        <v>3582.4199999999996</v>
      </c>
      <c r="G500" s="17"/>
      <c r="H500" s="178">
        <f t="shared" si="41"/>
        <v>3431.86</v>
      </c>
      <c r="I500" s="17">
        <f t="shared" si="43"/>
        <v>3431.86</v>
      </c>
      <c r="J500" s="169">
        <f t="shared" si="43"/>
        <v>3431.86</v>
      </c>
      <c r="K500" s="129"/>
      <c r="L500" s="47"/>
      <c r="M500" s="47"/>
      <c r="N500" s="47"/>
    </row>
    <row r="501" spans="1:14" ht="37.5" customHeight="1">
      <c r="A501" s="28" t="s">
        <v>152</v>
      </c>
      <c r="B501" s="15" t="s">
        <v>628</v>
      </c>
      <c r="C501" s="11"/>
      <c r="D501" s="17"/>
      <c r="E501" s="13">
        <f t="shared" si="40"/>
        <v>3582.4199999999996</v>
      </c>
      <c r="F501" s="17">
        <f>F502</f>
        <v>3582.4199999999996</v>
      </c>
      <c r="G501" s="17"/>
      <c r="H501" s="178">
        <f t="shared" si="41"/>
        <v>3431.86</v>
      </c>
      <c r="I501" s="17">
        <f t="shared" si="43"/>
        <v>3431.86</v>
      </c>
      <c r="J501" s="169">
        <f t="shared" si="43"/>
        <v>3431.86</v>
      </c>
      <c r="K501" s="129"/>
      <c r="L501" s="47"/>
      <c r="M501" s="47"/>
      <c r="N501" s="47"/>
    </row>
    <row r="502" spans="1:14" ht="27" customHeight="1">
      <c r="A502" s="28" t="s">
        <v>552</v>
      </c>
      <c r="B502" s="15" t="s">
        <v>629</v>
      </c>
      <c r="C502" s="11"/>
      <c r="D502" s="17"/>
      <c r="E502" s="13">
        <f t="shared" si="40"/>
        <v>3582.4199999999996</v>
      </c>
      <c r="F502" s="17">
        <f>F503+F504+F505+F506+F507</f>
        <v>3582.4199999999996</v>
      </c>
      <c r="G502" s="17"/>
      <c r="H502" s="178">
        <f t="shared" si="41"/>
        <v>3431.86</v>
      </c>
      <c r="I502" s="17">
        <f>I503+I504+I505+I506+I507</f>
        <v>3431.86</v>
      </c>
      <c r="J502" s="169">
        <f>J503+J504+J505+J506+J507</f>
        <v>3431.86</v>
      </c>
      <c r="K502" s="129"/>
      <c r="L502" s="47"/>
      <c r="M502" s="47"/>
      <c r="N502" s="47"/>
    </row>
    <row r="503" spans="1:14" ht="26.25" customHeight="1">
      <c r="A503" s="28" t="s">
        <v>104</v>
      </c>
      <c r="B503" s="15" t="s">
        <v>629</v>
      </c>
      <c r="C503" s="15" t="s">
        <v>42</v>
      </c>
      <c r="D503" s="17"/>
      <c r="E503" s="13">
        <f t="shared" si="40"/>
        <v>2603.33</v>
      </c>
      <c r="F503" s="17">
        <f>2603.33</f>
        <v>2603.33</v>
      </c>
      <c r="G503" s="17"/>
      <c r="H503" s="178">
        <f t="shared" si="41"/>
        <v>2603.33</v>
      </c>
      <c r="I503" s="17">
        <f>2603.33</f>
        <v>2603.33</v>
      </c>
      <c r="J503" s="169">
        <f>2603.33</f>
        <v>2603.33</v>
      </c>
      <c r="K503" s="181">
        <f>I503-J503</f>
        <v>0</v>
      </c>
      <c r="L503" s="47"/>
      <c r="M503" s="47"/>
      <c r="N503" s="47"/>
    </row>
    <row r="504" spans="1:14" ht="44.25" customHeight="1">
      <c r="A504" s="28" t="s">
        <v>46</v>
      </c>
      <c r="B504" s="15" t="s">
        <v>629</v>
      </c>
      <c r="C504" s="15" t="s">
        <v>47</v>
      </c>
      <c r="D504" s="17"/>
      <c r="E504" s="13">
        <f t="shared" si="40"/>
        <v>42</v>
      </c>
      <c r="F504" s="17">
        <v>42</v>
      </c>
      <c r="G504" s="17"/>
      <c r="H504" s="178">
        <f t="shared" si="41"/>
        <v>42</v>
      </c>
      <c r="I504" s="17">
        <v>42</v>
      </c>
      <c r="J504" s="169">
        <v>42</v>
      </c>
      <c r="K504" s="181">
        <f>I504-J504</f>
        <v>0</v>
      </c>
      <c r="L504" s="47"/>
      <c r="M504" s="47"/>
      <c r="N504" s="47"/>
    </row>
    <row r="505" spans="1:14" ht="29.25" customHeight="1">
      <c r="A505" s="28" t="s">
        <v>43</v>
      </c>
      <c r="B505" s="15" t="s">
        <v>629</v>
      </c>
      <c r="C505" s="15" t="s">
        <v>44</v>
      </c>
      <c r="D505" s="17"/>
      <c r="E505" s="13">
        <f t="shared" si="40"/>
        <v>786.21</v>
      </c>
      <c r="F505" s="17">
        <v>786.21</v>
      </c>
      <c r="G505" s="17"/>
      <c r="H505" s="178">
        <f t="shared" si="41"/>
        <v>786.21</v>
      </c>
      <c r="I505" s="17">
        <v>786.21</v>
      </c>
      <c r="J505" s="169">
        <v>786.21</v>
      </c>
      <c r="K505" s="181">
        <f>I505-J505</f>
        <v>0</v>
      </c>
      <c r="L505" s="47"/>
      <c r="M505" s="47"/>
      <c r="N505" s="47"/>
    </row>
    <row r="506" spans="1:14" s="47" customFormat="1" ht="25.5" customHeight="1">
      <c r="A506" s="28" t="s">
        <v>19</v>
      </c>
      <c r="B506" s="15" t="s">
        <v>629</v>
      </c>
      <c r="C506" s="4" t="s">
        <v>20</v>
      </c>
      <c r="D506" s="17"/>
      <c r="E506" s="13">
        <f t="shared" ref="E506:E569" si="44">F506-D506</f>
        <v>150.55999999999966</v>
      </c>
      <c r="F506" s="17">
        <f>3582.41-3431.53-0.32</f>
        <v>150.55999999999966</v>
      </c>
      <c r="G506" s="17"/>
      <c r="H506" s="178">
        <f t="shared" si="41"/>
        <v>0</v>
      </c>
      <c r="I506" s="179">
        <v>0</v>
      </c>
      <c r="J506" s="169"/>
      <c r="K506" s="181">
        <f>I506-J506</f>
        <v>0</v>
      </c>
    </row>
    <row r="507" spans="1:14" s="47" customFormat="1" ht="15" customHeight="1">
      <c r="A507" s="28" t="s">
        <v>32</v>
      </c>
      <c r="B507" s="15" t="s">
        <v>629</v>
      </c>
      <c r="C507" s="15" t="s">
        <v>33</v>
      </c>
      <c r="D507" s="17"/>
      <c r="E507" s="13">
        <f t="shared" si="44"/>
        <v>0.32</v>
      </c>
      <c r="F507" s="17">
        <v>0.32</v>
      </c>
      <c r="G507" s="17"/>
      <c r="H507" s="178">
        <f t="shared" si="41"/>
        <v>0.32</v>
      </c>
      <c r="I507" s="17">
        <v>0.32</v>
      </c>
      <c r="J507" s="169">
        <v>0.32</v>
      </c>
      <c r="K507" s="181">
        <f>I507-J507</f>
        <v>0</v>
      </c>
    </row>
    <row r="508" spans="1:14" ht="25.5" customHeight="1">
      <c r="A508" s="28" t="s">
        <v>319</v>
      </c>
      <c r="B508" s="15" t="s">
        <v>321</v>
      </c>
      <c r="C508" s="15"/>
      <c r="D508" s="17">
        <f>D509</f>
        <v>6180.98</v>
      </c>
      <c r="E508" s="13">
        <f t="shared" si="44"/>
        <v>4052.3600000000006</v>
      </c>
      <c r="F508" s="17">
        <f t="shared" ref="F508:G510" si="45">F509</f>
        <v>10233.34</v>
      </c>
      <c r="G508" s="17">
        <f t="shared" si="45"/>
        <v>6180.98</v>
      </c>
      <c r="H508" s="178">
        <f t="shared" si="41"/>
        <v>3326.9799999999996</v>
      </c>
      <c r="I508" s="17">
        <f t="shared" ref="I508:J510" si="46">I509</f>
        <v>9507.9599999999991</v>
      </c>
      <c r="J508" s="169">
        <f t="shared" si="46"/>
        <v>9507.9599999999991</v>
      </c>
      <c r="K508" s="129"/>
    </row>
    <row r="509" spans="1:14" ht="15.75" hidden="1" customHeight="1">
      <c r="A509" s="28" t="s">
        <v>319</v>
      </c>
      <c r="B509" s="15" t="s">
        <v>321</v>
      </c>
      <c r="C509" s="15"/>
      <c r="D509" s="17">
        <f>D510</f>
        <v>6180.98</v>
      </c>
      <c r="E509" s="13">
        <f t="shared" si="44"/>
        <v>4052.3600000000006</v>
      </c>
      <c r="F509" s="17">
        <f t="shared" si="45"/>
        <v>10233.34</v>
      </c>
      <c r="G509" s="17">
        <f t="shared" si="45"/>
        <v>6180.98</v>
      </c>
      <c r="H509" s="178">
        <f t="shared" si="41"/>
        <v>3326.9799999999996</v>
      </c>
      <c r="I509" s="17">
        <f t="shared" si="46"/>
        <v>9507.9599999999991</v>
      </c>
      <c r="J509" s="169">
        <f t="shared" si="46"/>
        <v>9507.9599999999991</v>
      </c>
      <c r="K509" s="129"/>
    </row>
    <row r="510" spans="1:14" ht="39" hidden="1" customHeight="1">
      <c r="A510" s="28" t="s">
        <v>319</v>
      </c>
      <c r="B510" s="15" t="s">
        <v>321</v>
      </c>
      <c r="C510" s="7"/>
      <c r="D510" s="17">
        <f>D511</f>
        <v>6180.98</v>
      </c>
      <c r="E510" s="13">
        <f t="shared" si="44"/>
        <v>4052.3600000000006</v>
      </c>
      <c r="F510" s="17">
        <f t="shared" si="45"/>
        <v>10233.34</v>
      </c>
      <c r="G510" s="17">
        <f t="shared" si="45"/>
        <v>6180.98</v>
      </c>
      <c r="H510" s="178">
        <f t="shared" si="41"/>
        <v>3326.9799999999996</v>
      </c>
      <c r="I510" s="17">
        <f t="shared" si="46"/>
        <v>9507.9599999999991</v>
      </c>
      <c r="J510" s="169">
        <f t="shared" si="46"/>
        <v>9507.9599999999991</v>
      </c>
      <c r="K510" s="129"/>
    </row>
    <row r="511" spans="1:14" ht="39" hidden="1" customHeight="1">
      <c r="A511" s="28" t="s">
        <v>319</v>
      </c>
      <c r="B511" s="15" t="s">
        <v>321</v>
      </c>
      <c r="C511" s="10"/>
      <c r="D511" s="17">
        <f>D512+D519</f>
        <v>6180.98</v>
      </c>
      <c r="E511" s="13">
        <f t="shared" si="44"/>
        <v>4052.3600000000006</v>
      </c>
      <c r="F511" s="17">
        <f>F512+F515</f>
        <v>10233.34</v>
      </c>
      <c r="G511" s="17">
        <f>G512+G519</f>
        <v>6180.98</v>
      </c>
      <c r="H511" s="178">
        <f t="shared" si="41"/>
        <v>3326.9799999999996</v>
      </c>
      <c r="I511" s="17">
        <f>I512+I515</f>
        <v>9507.9599999999991</v>
      </c>
      <c r="J511" s="169">
        <f>J512+J515</f>
        <v>9507.9599999999991</v>
      </c>
      <c r="K511" s="129"/>
      <c r="L511" s="47"/>
      <c r="M511" s="47"/>
      <c r="N511" s="47"/>
    </row>
    <row r="512" spans="1:14" ht="15" hidden="1" customHeight="1">
      <c r="A512" s="28" t="s">
        <v>340</v>
      </c>
      <c r="B512" s="15" t="s">
        <v>366</v>
      </c>
      <c r="C512" s="15"/>
      <c r="D512" s="17">
        <f>D513</f>
        <v>6180.98</v>
      </c>
      <c r="E512" s="13">
        <f t="shared" si="44"/>
        <v>-1026.8099999999995</v>
      </c>
      <c r="F512" s="17">
        <f>F513</f>
        <v>5154.17</v>
      </c>
      <c r="G512" s="17">
        <f>G513</f>
        <v>6180.98</v>
      </c>
      <c r="H512" s="178">
        <f t="shared" si="41"/>
        <v>-1389.5</v>
      </c>
      <c r="I512" s="17">
        <f>I513</f>
        <v>4791.4799999999996</v>
      </c>
      <c r="J512" s="169">
        <f>J513</f>
        <v>4791.4799999999996</v>
      </c>
      <c r="K512" s="129"/>
    </row>
    <row r="513" spans="1:14" ht="38.25" customHeight="1">
      <c r="A513" s="28" t="s">
        <v>340</v>
      </c>
      <c r="B513" s="15" t="s">
        <v>366</v>
      </c>
      <c r="C513" s="10"/>
      <c r="D513" s="17">
        <f>D514</f>
        <v>6180.98</v>
      </c>
      <c r="E513" s="13">
        <f t="shared" si="44"/>
        <v>-1026.8099999999995</v>
      </c>
      <c r="F513" s="17">
        <f>F514</f>
        <v>5154.17</v>
      </c>
      <c r="G513" s="17">
        <f>G514</f>
        <v>6180.98</v>
      </c>
      <c r="H513" s="178">
        <f t="shared" si="41"/>
        <v>-1389.5</v>
      </c>
      <c r="I513" s="17">
        <f>I514</f>
        <v>4791.4799999999996</v>
      </c>
      <c r="J513" s="169">
        <f>J514</f>
        <v>4791.4799999999996</v>
      </c>
      <c r="K513" s="129"/>
      <c r="L513" s="47"/>
      <c r="M513" s="47"/>
      <c r="N513" s="47"/>
    </row>
    <row r="514" spans="1:14" ht="38.25" customHeight="1">
      <c r="A514" s="28" t="s">
        <v>220</v>
      </c>
      <c r="B514" s="15" t="s">
        <v>367</v>
      </c>
      <c r="C514" s="15"/>
      <c r="D514" s="17">
        <f>D523+D526+D531</f>
        <v>6180.98</v>
      </c>
      <c r="E514" s="13">
        <f t="shared" si="44"/>
        <v>-1026.8099999999995</v>
      </c>
      <c r="F514" s="17">
        <f>F515+F521</f>
        <v>5154.17</v>
      </c>
      <c r="G514" s="17">
        <f>G523+G526+G531</f>
        <v>6180.98</v>
      </c>
      <c r="H514" s="178">
        <f t="shared" si="41"/>
        <v>-1389.5</v>
      </c>
      <c r="I514" s="17">
        <f>I515+I521</f>
        <v>4791.4799999999996</v>
      </c>
      <c r="J514" s="169">
        <f>J515+J521</f>
        <v>4791.4799999999996</v>
      </c>
      <c r="K514" s="129"/>
    </row>
    <row r="515" spans="1:14" s="47" customFormat="1" ht="38.25" customHeight="1">
      <c r="A515" s="30" t="s">
        <v>568</v>
      </c>
      <c r="B515" s="15" t="s">
        <v>567</v>
      </c>
      <c r="C515" s="15"/>
      <c r="D515" s="17"/>
      <c r="E515" s="13">
        <f t="shared" si="44"/>
        <v>5079.17</v>
      </c>
      <c r="F515" s="17">
        <f>SUM(F516:F520)</f>
        <v>5079.17</v>
      </c>
      <c r="G515" s="17"/>
      <c r="H515" s="178">
        <f t="shared" si="41"/>
        <v>4716.4799999999996</v>
      </c>
      <c r="I515" s="17">
        <f>SUM(I516:I520)</f>
        <v>4716.4799999999996</v>
      </c>
      <c r="J515" s="169">
        <f>SUM(J516:J520)</f>
        <v>4716.4799999999996</v>
      </c>
      <c r="K515" s="129"/>
      <c r="L515" s="1"/>
      <c r="M515" s="1"/>
      <c r="N515" s="1"/>
    </row>
    <row r="516" spans="1:14" s="47" customFormat="1" ht="38.25" customHeight="1">
      <c r="A516" s="28" t="s">
        <v>10</v>
      </c>
      <c r="B516" s="15" t="s">
        <v>567</v>
      </c>
      <c r="C516" s="15" t="s">
        <v>11</v>
      </c>
      <c r="D516" s="17"/>
      <c r="E516" s="13">
        <f t="shared" si="44"/>
        <v>3557.7299999999996</v>
      </c>
      <c r="F516" s="17">
        <f>5439.48-1881.75</f>
        <v>3557.7299999999996</v>
      </c>
      <c r="G516" s="17"/>
      <c r="H516" s="178">
        <f t="shared" si="41"/>
        <v>3557.7299999999996</v>
      </c>
      <c r="I516" s="17">
        <f>5439.48-1881.75</f>
        <v>3557.7299999999996</v>
      </c>
      <c r="J516" s="169">
        <f>5439.48-1881.75</f>
        <v>3557.7299999999996</v>
      </c>
      <c r="K516" s="181">
        <f>I516-J516</f>
        <v>0</v>
      </c>
      <c r="L516" s="1"/>
      <c r="M516" s="1"/>
      <c r="N516" s="1"/>
    </row>
    <row r="517" spans="1:14" s="47" customFormat="1" ht="24" customHeight="1">
      <c r="A517" s="32" t="s">
        <v>15</v>
      </c>
      <c r="B517" s="15" t="s">
        <v>567</v>
      </c>
      <c r="C517" s="15" t="s">
        <v>16</v>
      </c>
      <c r="D517" s="17"/>
      <c r="E517" s="13">
        <f t="shared" si="44"/>
        <v>84</v>
      </c>
      <c r="F517" s="17">
        <v>84</v>
      </c>
      <c r="G517" s="17"/>
      <c r="H517" s="178">
        <f t="shared" si="41"/>
        <v>84</v>
      </c>
      <c r="I517" s="17">
        <v>84</v>
      </c>
      <c r="J517" s="169">
        <v>84</v>
      </c>
      <c r="K517" s="181">
        <f>I517-J517</f>
        <v>0</v>
      </c>
      <c r="L517" s="1"/>
      <c r="M517" s="1"/>
      <c r="N517" s="1"/>
    </row>
    <row r="518" spans="1:14" s="47" customFormat="1" ht="38.25" customHeight="1">
      <c r="A518" s="28" t="s">
        <v>12</v>
      </c>
      <c r="B518" s="15" t="s">
        <v>567</v>
      </c>
      <c r="C518" s="15" t="s">
        <v>13</v>
      </c>
      <c r="D518" s="17"/>
      <c r="E518" s="13">
        <f t="shared" si="44"/>
        <v>1074.43</v>
      </c>
      <c r="F518" s="17">
        <f>1642.72-568.29</f>
        <v>1074.43</v>
      </c>
      <c r="G518" s="17"/>
      <c r="H518" s="178">
        <f t="shared" si="41"/>
        <v>1074.43</v>
      </c>
      <c r="I518" s="17">
        <f>1642.72-568.29</f>
        <v>1074.43</v>
      </c>
      <c r="J518" s="169">
        <f>1642.72-568.29</f>
        <v>1074.43</v>
      </c>
      <c r="K518" s="181">
        <f>I518-J518</f>
        <v>0</v>
      </c>
      <c r="L518" s="1"/>
      <c r="M518" s="1"/>
      <c r="N518" s="1"/>
    </row>
    <row r="519" spans="1:14" s="47" customFormat="1" ht="30" customHeight="1">
      <c r="A519" s="28" t="s">
        <v>19</v>
      </c>
      <c r="B519" s="15" t="s">
        <v>567</v>
      </c>
      <c r="C519" s="15" t="s">
        <v>20</v>
      </c>
      <c r="D519" s="17"/>
      <c r="E519" s="13">
        <f t="shared" si="44"/>
        <v>362.69000000000023</v>
      </c>
      <c r="F519" s="17">
        <f>7604.21-3557.73-84-1074.43-75-2450.04-0.32</f>
        <v>362.69000000000023</v>
      </c>
      <c r="G519" s="17"/>
      <c r="H519" s="178">
        <f t="shared" si="41"/>
        <v>0</v>
      </c>
      <c r="I519" s="179">
        <v>0</v>
      </c>
      <c r="J519" s="169"/>
      <c r="K519" s="181">
        <f>I519-J519</f>
        <v>0</v>
      </c>
      <c r="L519" s="1"/>
      <c r="M519" s="1"/>
      <c r="N519" s="1"/>
    </row>
    <row r="520" spans="1:14" s="47" customFormat="1" ht="38.25" customHeight="1">
      <c r="A520" s="28" t="s">
        <v>32</v>
      </c>
      <c r="B520" s="15" t="s">
        <v>567</v>
      </c>
      <c r="C520" s="4" t="s">
        <v>33</v>
      </c>
      <c r="D520" s="17"/>
      <c r="E520" s="13">
        <f t="shared" si="44"/>
        <v>0.32</v>
      </c>
      <c r="F520" s="17">
        <v>0.32</v>
      </c>
      <c r="G520" s="17"/>
      <c r="H520" s="178">
        <f t="shared" si="41"/>
        <v>0.32</v>
      </c>
      <c r="I520" s="17">
        <v>0.32</v>
      </c>
      <c r="J520" s="169">
        <v>0.32</v>
      </c>
      <c r="K520" s="181">
        <f>I520-J520</f>
        <v>0</v>
      </c>
      <c r="L520" s="1"/>
      <c r="M520" s="1"/>
      <c r="N520" s="1"/>
    </row>
    <row r="521" spans="1:14" s="47" customFormat="1" ht="38.25" customHeight="1">
      <c r="A521" s="14" t="s">
        <v>394</v>
      </c>
      <c r="B521" s="15" t="s">
        <v>507</v>
      </c>
      <c r="C521" s="15"/>
      <c r="D521" s="17"/>
      <c r="E521" s="13">
        <f t="shared" si="44"/>
        <v>75</v>
      </c>
      <c r="F521" s="17">
        <f>F522</f>
        <v>75</v>
      </c>
      <c r="G521" s="17"/>
      <c r="H521" s="178">
        <f t="shared" si="41"/>
        <v>75</v>
      </c>
      <c r="I521" s="17">
        <f>I522</f>
        <v>75</v>
      </c>
      <c r="J521" s="169">
        <f>J522</f>
        <v>75</v>
      </c>
      <c r="K521" s="129"/>
      <c r="L521" s="1"/>
      <c r="M521" s="1"/>
      <c r="N521" s="1"/>
    </row>
    <row r="522" spans="1:14" s="47" customFormat="1" ht="30" customHeight="1">
      <c r="A522" s="14" t="s">
        <v>19</v>
      </c>
      <c r="B522" s="15" t="s">
        <v>507</v>
      </c>
      <c r="C522" s="4" t="s">
        <v>20</v>
      </c>
      <c r="D522" s="17"/>
      <c r="E522" s="13">
        <f t="shared" si="44"/>
        <v>75</v>
      </c>
      <c r="F522" s="17">
        <v>75</v>
      </c>
      <c r="G522" s="17"/>
      <c r="H522" s="178">
        <f t="shared" ref="H522:H585" si="47">I522-G522</f>
        <v>75</v>
      </c>
      <c r="I522" s="17">
        <v>75</v>
      </c>
      <c r="J522" s="169">
        <v>75</v>
      </c>
      <c r="K522" s="181">
        <f>I522-J522</f>
        <v>0</v>
      </c>
      <c r="L522" s="1"/>
      <c r="M522" s="1"/>
      <c r="N522" s="1"/>
    </row>
    <row r="523" spans="1:14" s="47" customFormat="1" ht="29.25" customHeight="1">
      <c r="A523" s="28" t="s">
        <v>221</v>
      </c>
      <c r="B523" s="15" t="s">
        <v>368</v>
      </c>
      <c r="C523" s="4"/>
      <c r="D523" s="17">
        <f>SUBTOTAL(9,D524:D525)</f>
        <v>5737.9599999999991</v>
      </c>
      <c r="E523" s="13">
        <f t="shared" si="44"/>
        <v>-5737.9599999999991</v>
      </c>
      <c r="F523" s="17"/>
      <c r="G523" s="17">
        <f>SUBTOTAL(9,G524:G525)</f>
        <v>5737.9599999999991</v>
      </c>
      <c r="H523" s="178">
        <f t="shared" si="47"/>
        <v>-5737.9599999999991</v>
      </c>
      <c r="I523" s="180">
        <v>0</v>
      </c>
      <c r="J523" s="180">
        <v>0</v>
      </c>
      <c r="K523" s="129"/>
      <c r="L523" s="1"/>
      <c r="M523" s="1"/>
      <c r="N523" s="1"/>
    </row>
    <row r="524" spans="1:14" ht="17.25" customHeight="1">
      <c r="A524" s="28" t="s">
        <v>10</v>
      </c>
      <c r="B524" s="15" t="s">
        <v>368</v>
      </c>
      <c r="C524" s="15" t="s">
        <v>11</v>
      </c>
      <c r="D524" s="17">
        <f>4972.32-565.3</f>
        <v>4407.0199999999995</v>
      </c>
      <c r="E524" s="13">
        <f t="shared" si="44"/>
        <v>-4407.0199999999995</v>
      </c>
      <c r="F524" s="17"/>
      <c r="G524" s="17">
        <f>4972.32-565.3</f>
        <v>4407.0199999999995</v>
      </c>
      <c r="H524" s="178">
        <f t="shared" si="47"/>
        <v>-4407.0199999999995</v>
      </c>
      <c r="I524" s="180">
        <v>0</v>
      </c>
      <c r="J524" s="180">
        <v>0</v>
      </c>
      <c r="K524" s="181">
        <f>I524-J524</f>
        <v>0</v>
      </c>
    </row>
    <row r="525" spans="1:14" ht="28.5" customHeight="1">
      <c r="A525" s="28" t="s">
        <v>12</v>
      </c>
      <c r="B525" s="15" t="s">
        <v>368</v>
      </c>
      <c r="C525" s="15" t="s">
        <v>13</v>
      </c>
      <c r="D525" s="17">
        <f>1501.64-170.7</f>
        <v>1330.94</v>
      </c>
      <c r="E525" s="13">
        <f t="shared" si="44"/>
        <v>-1330.94</v>
      </c>
      <c r="F525" s="17"/>
      <c r="G525" s="17">
        <f>1501.64-170.7</f>
        <v>1330.94</v>
      </c>
      <c r="H525" s="178">
        <f t="shared" si="47"/>
        <v>-1330.94</v>
      </c>
      <c r="I525" s="180">
        <v>0</v>
      </c>
      <c r="J525" s="180">
        <v>0</v>
      </c>
      <c r="K525" s="181">
        <f>I525-J525</f>
        <v>0</v>
      </c>
    </row>
    <row r="526" spans="1:14" ht="29.25" customHeight="1">
      <c r="A526" s="28" t="s">
        <v>222</v>
      </c>
      <c r="B526" s="15" t="s">
        <v>369</v>
      </c>
      <c r="C526" s="4"/>
      <c r="D526" s="17">
        <f>SUBTOTAL(9,D527:D530)</f>
        <v>371.02</v>
      </c>
      <c r="E526" s="13">
        <f t="shared" si="44"/>
        <v>-371.02</v>
      </c>
      <c r="F526" s="17"/>
      <c r="G526" s="17">
        <f>SUBTOTAL(9,G527:G530)</f>
        <v>371.02</v>
      </c>
      <c r="H526" s="178">
        <f t="shared" si="47"/>
        <v>-371.02</v>
      </c>
      <c r="I526" s="180">
        <v>0</v>
      </c>
      <c r="J526" s="180">
        <v>0</v>
      </c>
      <c r="K526" s="129"/>
    </row>
    <row r="527" spans="1:14" ht="41.25" customHeight="1">
      <c r="A527" s="32" t="s">
        <v>15</v>
      </c>
      <c r="B527" s="15" t="s">
        <v>369</v>
      </c>
      <c r="C527" s="15" t="s">
        <v>16</v>
      </c>
      <c r="D527" s="17"/>
      <c r="E527" s="13">
        <f t="shared" si="44"/>
        <v>0</v>
      </c>
      <c r="F527" s="17"/>
      <c r="G527" s="17"/>
      <c r="H527" s="178">
        <f t="shared" si="47"/>
        <v>0</v>
      </c>
      <c r="I527" s="180">
        <v>0</v>
      </c>
      <c r="J527" s="180">
        <v>0</v>
      </c>
      <c r="K527" s="181">
        <f>I527-J527</f>
        <v>0</v>
      </c>
    </row>
    <row r="528" spans="1:14" ht="27.75" customHeight="1">
      <c r="A528" s="28" t="s">
        <v>19</v>
      </c>
      <c r="B528" s="15" t="s">
        <v>369</v>
      </c>
      <c r="C528" s="4">
        <v>244</v>
      </c>
      <c r="D528" s="17">
        <f>62.04+156+32.8+6.64+185.54-72</f>
        <v>371.02</v>
      </c>
      <c r="E528" s="13">
        <f t="shared" si="44"/>
        <v>-371.02</v>
      </c>
      <c r="F528" s="17"/>
      <c r="G528" s="17">
        <f>62.04+156+32.8+6.64+185.54-72</f>
        <v>371.02</v>
      </c>
      <c r="H528" s="178">
        <f t="shared" si="47"/>
        <v>-371.02</v>
      </c>
      <c r="I528" s="180">
        <v>0</v>
      </c>
      <c r="J528" s="180">
        <v>0</v>
      </c>
      <c r="K528" s="181">
        <f>I528-J528</f>
        <v>0</v>
      </c>
    </row>
    <row r="529" spans="1:14" ht="18" customHeight="1">
      <c r="A529" s="28" t="s">
        <v>32</v>
      </c>
      <c r="B529" s="15" t="s">
        <v>369</v>
      </c>
      <c r="C529" s="4" t="s">
        <v>33</v>
      </c>
      <c r="D529" s="17"/>
      <c r="E529" s="13">
        <f t="shared" si="44"/>
        <v>0</v>
      </c>
      <c r="F529" s="17"/>
      <c r="G529" s="17"/>
      <c r="H529" s="178">
        <f t="shared" si="47"/>
        <v>0</v>
      </c>
      <c r="I529" s="180">
        <v>0</v>
      </c>
      <c r="J529" s="180">
        <v>0</v>
      </c>
      <c r="K529" s="181">
        <f>I529-J529</f>
        <v>0</v>
      </c>
    </row>
    <row r="530" spans="1:14" ht="21" customHeight="1">
      <c r="A530" s="28" t="s">
        <v>21</v>
      </c>
      <c r="B530" s="15" t="s">
        <v>369</v>
      </c>
      <c r="C530" s="4" t="s">
        <v>22</v>
      </c>
      <c r="D530" s="17"/>
      <c r="E530" s="13">
        <f t="shared" si="44"/>
        <v>0</v>
      </c>
      <c r="F530" s="17"/>
      <c r="G530" s="17"/>
      <c r="H530" s="178">
        <f t="shared" si="47"/>
        <v>0</v>
      </c>
      <c r="I530" s="180">
        <v>0</v>
      </c>
      <c r="J530" s="180">
        <v>0</v>
      </c>
      <c r="K530" s="181">
        <f>I530-J530</f>
        <v>0</v>
      </c>
    </row>
    <row r="531" spans="1:14" ht="30" customHeight="1">
      <c r="A531" s="14" t="s">
        <v>394</v>
      </c>
      <c r="B531" s="15" t="s">
        <v>486</v>
      </c>
      <c r="C531" s="4"/>
      <c r="D531" s="17">
        <f>D532</f>
        <v>72</v>
      </c>
      <c r="E531" s="13">
        <f t="shared" si="44"/>
        <v>-72</v>
      </c>
      <c r="F531" s="17"/>
      <c r="G531" s="17">
        <f>G532</f>
        <v>72</v>
      </c>
      <c r="H531" s="178">
        <f t="shared" si="47"/>
        <v>-72</v>
      </c>
      <c r="I531" s="180">
        <v>0</v>
      </c>
      <c r="J531" s="180">
        <v>0</v>
      </c>
      <c r="K531" s="129"/>
    </row>
    <row r="532" spans="1:14" ht="25.5" customHeight="1">
      <c r="A532" s="14" t="s">
        <v>19</v>
      </c>
      <c r="B532" s="15" t="s">
        <v>486</v>
      </c>
      <c r="C532" s="4" t="s">
        <v>20</v>
      </c>
      <c r="D532" s="17">
        <v>72</v>
      </c>
      <c r="E532" s="13">
        <f t="shared" si="44"/>
        <v>-72</v>
      </c>
      <c r="F532" s="17"/>
      <c r="G532" s="17">
        <v>72</v>
      </c>
      <c r="H532" s="178">
        <f t="shared" si="47"/>
        <v>-72</v>
      </c>
      <c r="I532" s="180">
        <v>0</v>
      </c>
      <c r="J532" s="180">
        <v>0</v>
      </c>
      <c r="K532" s="181">
        <f>I532-J532</f>
        <v>0</v>
      </c>
    </row>
    <row r="533" spans="1:14" ht="25.5" customHeight="1">
      <c r="A533" s="30" t="s">
        <v>452</v>
      </c>
      <c r="B533" s="55" t="s">
        <v>601</v>
      </c>
      <c r="C533" s="10"/>
      <c r="D533" s="17">
        <f>D534</f>
        <v>6.7700000000000005</v>
      </c>
      <c r="E533" s="13">
        <f t="shared" si="44"/>
        <v>-1.2100000000000009</v>
      </c>
      <c r="F533" s="17">
        <f>F534</f>
        <v>5.56</v>
      </c>
      <c r="G533" s="17">
        <f>G534</f>
        <v>0</v>
      </c>
      <c r="H533" s="178">
        <f t="shared" si="47"/>
        <v>0</v>
      </c>
      <c r="I533" s="17">
        <f>I534</f>
        <v>0</v>
      </c>
      <c r="J533" s="169">
        <f>J534</f>
        <v>0</v>
      </c>
      <c r="K533" s="129"/>
      <c r="L533" s="47"/>
      <c r="M533" s="47"/>
      <c r="N533" s="47"/>
    </row>
    <row r="534" spans="1:14" ht="27.75" customHeight="1">
      <c r="A534" s="14" t="s">
        <v>19</v>
      </c>
      <c r="B534" s="55" t="s">
        <v>601</v>
      </c>
      <c r="C534" s="7" t="s">
        <v>20</v>
      </c>
      <c r="D534" s="17">
        <f>6.7+0.07</f>
        <v>6.7700000000000005</v>
      </c>
      <c r="E534" s="13">
        <f t="shared" si="44"/>
        <v>-1.2100000000000009</v>
      </c>
      <c r="F534" s="17">
        <f>5.5+0.06</f>
        <v>5.56</v>
      </c>
      <c r="G534" s="17"/>
      <c r="H534" s="178">
        <f t="shared" si="47"/>
        <v>0</v>
      </c>
      <c r="I534" s="180">
        <v>0</v>
      </c>
      <c r="J534" s="180">
        <v>0</v>
      </c>
      <c r="K534" s="129" t="s">
        <v>524</v>
      </c>
      <c r="L534" s="1">
        <f>5.5/99</f>
        <v>5.5555555555555552E-2</v>
      </c>
      <c r="M534" s="1">
        <f>I534/99</f>
        <v>0</v>
      </c>
      <c r="N534" s="1">
        <f>J534/99</f>
        <v>0</v>
      </c>
    </row>
    <row r="535" spans="1:14" ht="39.75" customHeight="1">
      <c r="A535" s="28" t="s">
        <v>201</v>
      </c>
      <c r="B535" s="15" t="s">
        <v>358</v>
      </c>
      <c r="C535" s="15"/>
      <c r="D535" s="17">
        <f>D536</f>
        <v>0</v>
      </c>
      <c r="E535" s="13">
        <f t="shared" si="44"/>
        <v>774</v>
      </c>
      <c r="F535" s="17">
        <f>F536</f>
        <v>774</v>
      </c>
      <c r="G535" s="17">
        <f>G536</f>
        <v>0</v>
      </c>
      <c r="H535" s="178">
        <f t="shared" si="47"/>
        <v>754</v>
      </c>
      <c r="I535" s="17">
        <f>I536</f>
        <v>754</v>
      </c>
      <c r="J535" s="169">
        <f>J536</f>
        <v>754</v>
      </c>
      <c r="K535" s="129"/>
    </row>
    <row r="536" spans="1:14" ht="39.75" hidden="1" customHeight="1">
      <c r="A536" s="28" t="s">
        <v>201</v>
      </c>
      <c r="B536" s="15" t="s">
        <v>358</v>
      </c>
      <c r="C536" s="15"/>
      <c r="D536" s="17">
        <f>D537</f>
        <v>0</v>
      </c>
      <c r="E536" s="13">
        <f t="shared" si="44"/>
        <v>774</v>
      </c>
      <c r="F536" s="17">
        <f>F537</f>
        <v>774</v>
      </c>
      <c r="G536" s="17">
        <f>G537</f>
        <v>0</v>
      </c>
      <c r="H536" s="178">
        <f t="shared" si="47"/>
        <v>754</v>
      </c>
      <c r="I536" s="17">
        <f>I537</f>
        <v>754</v>
      </c>
      <c r="J536" s="169">
        <f>J537</f>
        <v>754</v>
      </c>
      <c r="K536" s="129"/>
    </row>
    <row r="537" spans="1:14" ht="27.75" hidden="1" customHeight="1">
      <c r="A537" s="28" t="s">
        <v>201</v>
      </c>
      <c r="B537" s="15" t="s">
        <v>358</v>
      </c>
      <c r="C537" s="7"/>
      <c r="D537" s="17"/>
      <c r="E537" s="13">
        <f t="shared" si="44"/>
        <v>774</v>
      </c>
      <c r="F537" s="17">
        <f>F538+F546</f>
        <v>774</v>
      </c>
      <c r="G537" s="17"/>
      <c r="H537" s="178">
        <f t="shared" si="47"/>
        <v>754</v>
      </c>
      <c r="I537" s="17">
        <f>I538+I546</f>
        <v>754</v>
      </c>
      <c r="J537" s="169">
        <f>J538+J546</f>
        <v>754</v>
      </c>
      <c r="K537" s="129"/>
    </row>
    <row r="538" spans="1:14" ht="25.5" customHeight="1">
      <c r="A538" s="28" t="s">
        <v>576</v>
      </c>
      <c r="B538" s="15" t="s">
        <v>602</v>
      </c>
      <c r="C538" s="7"/>
      <c r="D538" s="17"/>
      <c r="E538" s="13">
        <f t="shared" si="44"/>
        <v>20</v>
      </c>
      <c r="F538" s="17">
        <f>F539</f>
        <v>20</v>
      </c>
      <c r="G538" s="17"/>
      <c r="H538" s="178">
        <f t="shared" si="47"/>
        <v>0</v>
      </c>
      <c r="I538" s="17">
        <f>I539</f>
        <v>0</v>
      </c>
      <c r="J538" s="169">
        <f>J539</f>
        <v>0</v>
      </c>
      <c r="K538" s="129"/>
    </row>
    <row r="539" spans="1:14" ht="30" customHeight="1">
      <c r="A539" s="28" t="s">
        <v>640</v>
      </c>
      <c r="B539" s="15" t="s">
        <v>641</v>
      </c>
      <c r="C539" s="7"/>
      <c r="D539" s="17"/>
      <c r="E539" s="13">
        <f t="shared" si="44"/>
        <v>20</v>
      </c>
      <c r="F539" s="17">
        <f>F540</f>
        <v>20</v>
      </c>
      <c r="G539" s="17"/>
      <c r="H539" s="178">
        <f t="shared" si="47"/>
        <v>0</v>
      </c>
      <c r="I539" s="17">
        <f>I540</f>
        <v>0</v>
      </c>
      <c r="J539" s="169">
        <f>J540</f>
        <v>0</v>
      </c>
      <c r="K539" s="129"/>
    </row>
    <row r="540" spans="1:14" ht="39.75" customHeight="1">
      <c r="A540" s="14" t="s">
        <v>19</v>
      </c>
      <c r="B540" s="15" t="s">
        <v>641</v>
      </c>
      <c r="C540" s="7" t="s">
        <v>20</v>
      </c>
      <c r="D540" s="17"/>
      <c r="E540" s="13">
        <f t="shared" si="44"/>
        <v>20</v>
      </c>
      <c r="F540" s="17">
        <v>20</v>
      </c>
      <c r="G540" s="17"/>
      <c r="H540" s="178">
        <f t="shared" si="47"/>
        <v>0</v>
      </c>
      <c r="I540" s="179">
        <v>0</v>
      </c>
      <c r="J540" s="169"/>
      <c r="K540" s="181">
        <f>I540-J540</f>
        <v>0</v>
      </c>
    </row>
    <row r="541" spans="1:14" ht="27" customHeight="1">
      <c r="A541" s="32" t="s">
        <v>217</v>
      </c>
      <c r="B541" s="16" t="s">
        <v>365</v>
      </c>
      <c r="C541" s="15"/>
      <c r="D541" s="17">
        <f>D542</f>
        <v>70.3</v>
      </c>
      <c r="E541" s="13">
        <f t="shared" si="44"/>
        <v>1.1000000000000085</v>
      </c>
      <c r="F541" s="17">
        <f>F542</f>
        <v>71.400000000000006</v>
      </c>
      <c r="G541" s="17">
        <f>G542</f>
        <v>70.3</v>
      </c>
      <c r="H541" s="178">
        <f t="shared" si="47"/>
        <v>1.1000000000000085</v>
      </c>
      <c r="I541" s="17">
        <f>I542</f>
        <v>71.400000000000006</v>
      </c>
      <c r="J541" s="169">
        <f>J542</f>
        <v>71.400000000000006</v>
      </c>
      <c r="K541" s="129"/>
    </row>
    <row r="542" spans="1:14" ht="42" customHeight="1">
      <c r="A542" s="28" t="s">
        <v>19</v>
      </c>
      <c r="B542" s="16" t="s">
        <v>365</v>
      </c>
      <c r="C542" s="15" t="s">
        <v>20</v>
      </c>
      <c r="D542" s="17">
        <v>70.3</v>
      </c>
      <c r="E542" s="13">
        <f t="shared" si="44"/>
        <v>1.1000000000000085</v>
      </c>
      <c r="F542" s="17">
        <v>71.400000000000006</v>
      </c>
      <c r="G542" s="17">
        <v>70.3</v>
      </c>
      <c r="H542" s="178">
        <f t="shared" si="47"/>
        <v>1.1000000000000085</v>
      </c>
      <c r="I542" s="17">
        <v>71.400000000000006</v>
      </c>
      <c r="J542" s="169">
        <v>71.400000000000006</v>
      </c>
      <c r="K542" s="129" t="s">
        <v>523</v>
      </c>
    </row>
    <row r="543" spans="1:14" ht="33" customHeight="1">
      <c r="A543" s="28" t="s">
        <v>202</v>
      </c>
      <c r="B543" s="15" t="s">
        <v>359</v>
      </c>
      <c r="C543" s="15"/>
      <c r="D543" s="17">
        <f>SUBTOTAL(9,D544:D547)</f>
        <v>3137</v>
      </c>
      <c r="E543" s="13">
        <f t="shared" si="44"/>
        <v>284</v>
      </c>
      <c r="F543" s="17">
        <f>SUM(F544:F547)</f>
        <v>3421</v>
      </c>
      <c r="G543" s="17">
        <f>SUBTOTAL(9,G544:G547)</f>
        <v>3137</v>
      </c>
      <c r="H543" s="178">
        <f t="shared" si="47"/>
        <v>284</v>
      </c>
      <c r="I543" s="17">
        <f>SUM(I544:I547)</f>
        <v>3421</v>
      </c>
      <c r="J543" s="169">
        <f>SUM(J544:J547)</f>
        <v>3421</v>
      </c>
      <c r="K543" s="129"/>
    </row>
    <row r="544" spans="1:14" ht="25.5" customHeight="1">
      <c r="A544" s="28" t="s">
        <v>104</v>
      </c>
      <c r="B544" s="15" t="s">
        <v>359</v>
      </c>
      <c r="C544" s="4" t="s">
        <v>42</v>
      </c>
      <c r="D544" s="17">
        <v>1920</v>
      </c>
      <c r="E544" s="13">
        <f t="shared" si="44"/>
        <v>577</v>
      </c>
      <c r="F544" s="17">
        <v>2497</v>
      </c>
      <c r="G544" s="17">
        <v>1920</v>
      </c>
      <c r="H544" s="178">
        <f t="shared" si="47"/>
        <v>577</v>
      </c>
      <c r="I544" s="17">
        <v>2497</v>
      </c>
      <c r="J544" s="169">
        <v>2497</v>
      </c>
      <c r="K544" s="129" t="s">
        <v>523</v>
      </c>
    </row>
    <row r="545" spans="1:14" ht="27.75" customHeight="1">
      <c r="A545" s="28" t="s">
        <v>46</v>
      </c>
      <c r="B545" s="15" t="s">
        <v>359</v>
      </c>
      <c r="C545" s="4" t="s">
        <v>47</v>
      </c>
      <c r="D545" s="17">
        <v>100</v>
      </c>
      <c r="E545" s="13">
        <f t="shared" si="44"/>
        <v>-100</v>
      </c>
      <c r="F545" s="17"/>
      <c r="G545" s="17">
        <v>100</v>
      </c>
      <c r="H545" s="178">
        <f t="shared" si="47"/>
        <v>-100</v>
      </c>
      <c r="I545" s="180">
        <v>0</v>
      </c>
      <c r="J545" s="180">
        <v>0</v>
      </c>
      <c r="K545" s="129" t="s">
        <v>523</v>
      </c>
    </row>
    <row r="546" spans="1:14" ht="38.25" customHeight="1">
      <c r="A546" s="28" t="s">
        <v>203</v>
      </c>
      <c r="B546" s="15" t="s">
        <v>359</v>
      </c>
      <c r="C546" s="4" t="s">
        <v>44</v>
      </c>
      <c r="D546" s="17">
        <v>580</v>
      </c>
      <c r="E546" s="13">
        <f t="shared" si="44"/>
        <v>174</v>
      </c>
      <c r="F546" s="17">
        <v>754</v>
      </c>
      <c r="G546" s="17">
        <v>580</v>
      </c>
      <c r="H546" s="178">
        <f t="shared" si="47"/>
        <v>174</v>
      </c>
      <c r="I546" s="17">
        <v>754</v>
      </c>
      <c r="J546" s="169">
        <v>754</v>
      </c>
      <c r="K546" s="129" t="s">
        <v>523</v>
      </c>
    </row>
    <row r="547" spans="1:14" ht="41.25" customHeight="1">
      <c r="A547" s="28" t="s">
        <v>19</v>
      </c>
      <c r="B547" s="15" t="s">
        <v>359</v>
      </c>
      <c r="C547" s="4">
        <v>244</v>
      </c>
      <c r="D547" s="17">
        <f>534+3</f>
        <v>537</v>
      </c>
      <c r="E547" s="13">
        <f t="shared" si="44"/>
        <v>-367</v>
      </c>
      <c r="F547" s="17">
        <v>170</v>
      </c>
      <c r="G547" s="17">
        <f>534+3</f>
        <v>537</v>
      </c>
      <c r="H547" s="178">
        <f t="shared" si="47"/>
        <v>-367</v>
      </c>
      <c r="I547" s="17">
        <v>170</v>
      </c>
      <c r="J547" s="169">
        <v>170</v>
      </c>
      <c r="K547" s="129" t="s">
        <v>523</v>
      </c>
    </row>
    <row r="548" spans="1:14" ht="25.5" customHeight="1">
      <c r="A548" s="56" t="s">
        <v>453</v>
      </c>
      <c r="B548" s="55" t="s">
        <v>642</v>
      </c>
      <c r="C548" s="15"/>
      <c r="D548" s="17">
        <f>D549</f>
        <v>10.1</v>
      </c>
      <c r="E548" s="13">
        <f t="shared" si="44"/>
        <v>-9.9999999999999645E-2</v>
      </c>
      <c r="F548" s="17">
        <f>F549</f>
        <v>10</v>
      </c>
      <c r="G548" s="17">
        <f>G549</f>
        <v>10.1</v>
      </c>
      <c r="H548" s="178">
        <f t="shared" si="47"/>
        <v>-10.1</v>
      </c>
      <c r="I548" s="17">
        <f>I549</f>
        <v>0</v>
      </c>
      <c r="J548" s="169">
        <f>J549</f>
        <v>0</v>
      </c>
      <c r="K548" s="129"/>
    </row>
    <row r="549" spans="1:14" ht="28.5" customHeight="1">
      <c r="A549" s="56" t="s">
        <v>454</v>
      </c>
      <c r="B549" s="55" t="s">
        <v>642</v>
      </c>
      <c r="C549" s="15" t="s">
        <v>455</v>
      </c>
      <c r="D549" s="17">
        <v>10.1</v>
      </c>
      <c r="E549" s="13">
        <f t="shared" si="44"/>
        <v>-9.9999999999999645E-2</v>
      </c>
      <c r="F549" s="17">
        <f>9.9+0.1</f>
        <v>10</v>
      </c>
      <c r="G549" s="17">
        <v>10.1</v>
      </c>
      <c r="H549" s="178">
        <f t="shared" si="47"/>
        <v>-10.1</v>
      </c>
      <c r="I549" s="17">
        <v>0</v>
      </c>
      <c r="J549" s="169">
        <v>0</v>
      </c>
      <c r="K549" s="129" t="s">
        <v>524</v>
      </c>
      <c r="L549" s="1">
        <f>9.9/99</f>
        <v>0.1</v>
      </c>
      <c r="M549" s="1">
        <f>I549/99</f>
        <v>0</v>
      </c>
      <c r="N549" s="1">
        <f>J549/99</f>
        <v>0</v>
      </c>
    </row>
    <row r="550" spans="1:14" ht="38.25" customHeight="1">
      <c r="A550" s="28" t="s">
        <v>603</v>
      </c>
      <c r="B550" s="15" t="s">
        <v>370</v>
      </c>
      <c r="C550" s="7"/>
      <c r="D550" s="17">
        <f>D551+D553+D555</f>
        <v>20</v>
      </c>
      <c r="E550" s="13">
        <f t="shared" si="44"/>
        <v>-20</v>
      </c>
      <c r="F550" s="17"/>
      <c r="G550" s="17">
        <f>G551+G553+G555</f>
        <v>20</v>
      </c>
      <c r="H550" s="178">
        <f t="shared" si="47"/>
        <v>-20</v>
      </c>
      <c r="I550" s="180">
        <v>0</v>
      </c>
      <c r="J550" s="180">
        <v>0</v>
      </c>
      <c r="K550" s="129"/>
    </row>
    <row r="551" spans="1:14" ht="39.75" customHeight="1">
      <c r="A551" s="33" t="s">
        <v>223</v>
      </c>
      <c r="B551" s="22" t="s">
        <v>371</v>
      </c>
      <c r="C551" s="15"/>
      <c r="D551" s="17">
        <f>D552</f>
        <v>10</v>
      </c>
      <c r="E551" s="13">
        <f t="shared" si="44"/>
        <v>-10</v>
      </c>
      <c r="F551" s="17"/>
      <c r="G551" s="17">
        <f>G552</f>
        <v>10</v>
      </c>
      <c r="H551" s="178">
        <f t="shared" si="47"/>
        <v>-10</v>
      </c>
      <c r="I551" s="180">
        <v>0</v>
      </c>
      <c r="J551" s="180">
        <v>0</v>
      </c>
      <c r="K551" s="129"/>
    </row>
    <row r="552" spans="1:14" ht="38.25" customHeight="1">
      <c r="A552" s="28" t="s">
        <v>19</v>
      </c>
      <c r="B552" s="22" t="s">
        <v>371</v>
      </c>
      <c r="C552" s="15" t="s">
        <v>20</v>
      </c>
      <c r="D552" s="17">
        <v>10</v>
      </c>
      <c r="E552" s="13">
        <f t="shared" si="44"/>
        <v>-10</v>
      </c>
      <c r="F552" s="17"/>
      <c r="G552" s="17">
        <v>10</v>
      </c>
      <c r="H552" s="178">
        <f t="shared" si="47"/>
        <v>-10</v>
      </c>
      <c r="I552" s="180">
        <v>0</v>
      </c>
      <c r="J552" s="180">
        <v>0</v>
      </c>
      <c r="K552" s="181">
        <f>I552-J552</f>
        <v>0</v>
      </c>
    </row>
    <row r="553" spans="1:14" ht="38.25" customHeight="1">
      <c r="A553" s="33" t="s">
        <v>576</v>
      </c>
      <c r="B553" s="22" t="s">
        <v>372</v>
      </c>
      <c r="C553" s="15"/>
      <c r="D553" s="17">
        <f>D554</f>
        <v>10</v>
      </c>
      <c r="E553" s="13">
        <f t="shared" si="44"/>
        <v>-10</v>
      </c>
      <c r="F553" s="17"/>
      <c r="G553" s="17">
        <f>G554</f>
        <v>10</v>
      </c>
      <c r="H553" s="178">
        <f t="shared" si="47"/>
        <v>-10</v>
      </c>
      <c r="I553" s="180">
        <v>0</v>
      </c>
      <c r="J553" s="180">
        <v>0</v>
      </c>
      <c r="K553" s="129"/>
    </row>
    <row r="554" spans="1:14" ht="38.25" customHeight="1">
      <c r="A554" s="28" t="s">
        <v>19</v>
      </c>
      <c r="B554" s="22" t="s">
        <v>372</v>
      </c>
      <c r="C554" s="15" t="s">
        <v>20</v>
      </c>
      <c r="D554" s="17">
        <v>10</v>
      </c>
      <c r="E554" s="13">
        <f t="shared" si="44"/>
        <v>-10</v>
      </c>
      <c r="F554" s="17">
        <v>0</v>
      </c>
      <c r="G554" s="17">
        <v>10</v>
      </c>
      <c r="H554" s="178">
        <f t="shared" si="47"/>
        <v>-10</v>
      </c>
      <c r="I554" s="179">
        <v>0</v>
      </c>
      <c r="J554" s="169">
        <v>0</v>
      </c>
      <c r="K554" s="181">
        <f>I554-J554</f>
        <v>0</v>
      </c>
    </row>
    <row r="555" spans="1:14" ht="20.25" customHeight="1">
      <c r="A555" s="32" t="s">
        <v>413</v>
      </c>
      <c r="B555" s="15" t="s">
        <v>414</v>
      </c>
      <c r="C555" s="11"/>
      <c r="D555" s="17">
        <f>D556</f>
        <v>0</v>
      </c>
      <c r="E555" s="13">
        <f t="shared" si="44"/>
        <v>13816.900000000001</v>
      </c>
      <c r="F555" s="17">
        <f t="shared" ref="F555:G558" si="48">F556</f>
        <v>13816.900000000001</v>
      </c>
      <c r="G555" s="17">
        <f t="shared" si="48"/>
        <v>0</v>
      </c>
      <c r="H555" s="178">
        <f t="shared" si="47"/>
        <v>13254.640000000001</v>
      </c>
      <c r="I555" s="17">
        <f t="shared" ref="I555:J562" si="49">I556</f>
        <v>13254.640000000001</v>
      </c>
      <c r="J555" s="169">
        <f t="shared" si="49"/>
        <v>13254.640000000001</v>
      </c>
      <c r="K555" s="129"/>
      <c r="L555" s="47"/>
      <c r="M555" s="47"/>
      <c r="N555" s="47"/>
    </row>
    <row r="556" spans="1:14" ht="38.25" hidden="1" customHeight="1">
      <c r="A556" s="32" t="s">
        <v>413</v>
      </c>
      <c r="B556" s="15" t="s">
        <v>414</v>
      </c>
      <c r="C556" s="54"/>
      <c r="D556" s="17">
        <f>D557</f>
        <v>0</v>
      </c>
      <c r="E556" s="13">
        <f t="shared" si="44"/>
        <v>13816.900000000001</v>
      </c>
      <c r="F556" s="17">
        <f t="shared" si="48"/>
        <v>13816.900000000001</v>
      </c>
      <c r="G556" s="17">
        <f t="shared" si="48"/>
        <v>0</v>
      </c>
      <c r="H556" s="178">
        <f t="shared" si="47"/>
        <v>13254.640000000001</v>
      </c>
      <c r="I556" s="17">
        <f t="shared" si="49"/>
        <v>13254.640000000001</v>
      </c>
      <c r="J556" s="169">
        <f t="shared" si="49"/>
        <v>13254.640000000001</v>
      </c>
      <c r="K556" s="129"/>
      <c r="L556" s="47"/>
      <c r="M556" s="47"/>
      <c r="N556" s="47"/>
    </row>
    <row r="557" spans="1:14" ht="38.25" hidden="1" customHeight="1">
      <c r="A557" s="32" t="s">
        <v>413</v>
      </c>
      <c r="B557" s="15" t="s">
        <v>414</v>
      </c>
      <c r="C557" s="4"/>
      <c r="D557" s="17">
        <f>D558</f>
        <v>0</v>
      </c>
      <c r="E557" s="13">
        <f t="shared" si="44"/>
        <v>13816.900000000001</v>
      </c>
      <c r="F557" s="17">
        <f t="shared" si="48"/>
        <v>13816.900000000001</v>
      </c>
      <c r="G557" s="17">
        <f t="shared" si="48"/>
        <v>0</v>
      </c>
      <c r="H557" s="178">
        <f t="shared" si="47"/>
        <v>13254.640000000001</v>
      </c>
      <c r="I557" s="17">
        <f t="shared" si="49"/>
        <v>13254.640000000001</v>
      </c>
      <c r="J557" s="169">
        <f t="shared" si="49"/>
        <v>13254.640000000001</v>
      </c>
      <c r="K557" s="129"/>
    </row>
    <row r="558" spans="1:14" ht="54" hidden="1" customHeight="1">
      <c r="A558" s="32" t="s">
        <v>413</v>
      </c>
      <c r="B558" s="15" t="s">
        <v>414</v>
      </c>
      <c r="C558" s="4"/>
      <c r="D558" s="17">
        <f>D559</f>
        <v>0</v>
      </c>
      <c r="E558" s="13">
        <f t="shared" si="44"/>
        <v>13816.900000000001</v>
      </c>
      <c r="F558" s="17">
        <f t="shared" si="48"/>
        <v>13816.900000000001</v>
      </c>
      <c r="G558" s="17">
        <f t="shared" si="48"/>
        <v>0</v>
      </c>
      <c r="H558" s="178">
        <f t="shared" si="47"/>
        <v>13254.640000000001</v>
      </c>
      <c r="I558" s="17">
        <f t="shared" si="49"/>
        <v>13254.640000000001</v>
      </c>
      <c r="J558" s="169">
        <f t="shared" si="49"/>
        <v>13254.640000000001</v>
      </c>
      <c r="K558" s="129"/>
      <c r="L558" s="47"/>
      <c r="M558" s="47"/>
      <c r="N558" s="47"/>
    </row>
    <row r="559" spans="1:14" ht="25.5" hidden="1" customHeight="1">
      <c r="A559" s="32" t="s">
        <v>413</v>
      </c>
      <c r="B559" s="15" t="s">
        <v>414</v>
      </c>
      <c r="C559" s="4"/>
      <c r="D559" s="17"/>
      <c r="E559" s="13">
        <f t="shared" si="44"/>
        <v>13816.900000000001</v>
      </c>
      <c r="F559" s="17">
        <f>F560</f>
        <v>13816.900000000001</v>
      </c>
      <c r="G559" s="17"/>
      <c r="H559" s="178">
        <f t="shared" si="47"/>
        <v>13254.640000000001</v>
      </c>
      <c r="I559" s="17">
        <f t="shared" si="49"/>
        <v>13254.640000000001</v>
      </c>
      <c r="J559" s="169">
        <f t="shared" si="49"/>
        <v>13254.640000000001</v>
      </c>
      <c r="K559" s="129"/>
      <c r="L559" s="47"/>
      <c r="M559" s="47"/>
      <c r="N559" s="47"/>
    </row>
    <row r="560" spans="1:14" ht="25.5" hidden="1" customHeight="1">
      <c r="A560" s="32" t="s">
        <v>413</v>
      </c>
      <c r="B560" s="15" t="s">
        <v>414</v>
      </c>
      <c r="C560" s="54"/>
      <c r="D560" s="17">
        <f>D561</f>
        <v>12367.98</v>
      </c>
      <c r="E560" s="13">
        <f t="shared" si="44"/>
        <v>1448.9200000000019</v>
      </c>
      <c r="F560" s="17">
        <f>F561</f>
        <v>13816.900000000001</v>
      </c>
      <c r="G560" s="17">
        <f>G561</f>
        <v>12367.98</v>
      </c>
      <c r="H560" s="178">
        <f t="shared" si="47"/>
        <v>886.66000000000167</v>
      </c>
      <c r="I560" s="17">
        <f t="shared" si="49"/>
        <v>13254.640000000001</v>
      </c>
      <c r="J560" s="169">
        <f t="shared" si="49"/>
        <v>13254.640000000001</v>
      </c>
      <c r="K560" s="129"/>
      <c r="L560" s="47"/>
      <c r="M560" s="47"/>
      <c r="N560" s="47"/>
    </row>
    <row r="561" spans="1:14" ht="15" customHeight="1">
      <c r="A561" s="28" t="s">
        <v>415</v>
      </c>
      <c r="B561" s="15" t="s">
        <v>141</v>
      </c>
      <c r="C561" s="15"/>
      <c r="D561" s="17">
        <f>D562</f>
        <v>12367.98</v>
      </c>
      <c r="E561" s="13">
        <f t="shared" si="44"/>
        <v>1448.9200000000019</v>
      </c>
      <c r="F561" s="17">
        <f>F562</f>
        <v>13816.900000000001</v>
      </c>
      <c r="G561" s="17">
        <f>G562</f>
        <v>12367.98</v>
      </c>
      <c r="H561" s="178">
        <f t="shared" si="47"/>
        <v>886.66000000000167</v>
      </c>
      <c r="I561" s="17">
        <f t="shared" si="49"/>
        <v>13254.640000000001</v>
      </c>
      <c r="J561" s="169">
        <f t="shared" si="49"/>
        <v>13254.640000000001</v>
      </c>
      <c r="K561" s="129"/>
    </row>
    <row r="562" spans="1:14" ht="15" hidden="1" customHeight="1">
      <c r="A562" s="28" t="s">
        <v>415</v>
      </c>
      <c r="B562" s="15" t="s">
        <v>141</v>
      </c>
      <c r="C562" s="54"/>
      <c r="D562" s="17">
        <f>D563</f>
        <v>12367.98</v>
      </c>
      <c r="E562" s="13">
        <f t="shared" si="44"/>
        <v>1448.9200000000019</v>
      </c>
      <c r="F562" s="17">
        <f>F563</f>
        <v>13816.900000000001</v>
      </c>
      <c r="G562" s="17">
        <f>G563</f>
        <v>12367.98</v>
      </c>
      <c r="H562" s="178">
        <f t="shared" si="47"/>
        <v>886.66000000000167</v>
      </c>
      <c r="I562" s="17">
        <f t="shared" si="49"/>
        <v>13254.640000000001</v>
      </c>
      <c r="J562" s="169">
        <f t="shared" si="49"/>
        <v>13254.640000000001</v>
      </c>
      <c r="K562" s="129"/>
      <c r="L562" s="47"/>
      <c r="M562" s="47"/>
      <c r="N562" s="47"/>
    </row>
    <row r="563" spans="1:14" ht="12" customHeight="1">
      <c r="A563" s="28" t="s">
        <v>142</v>
      </c>
      <c r="B563" s="15" t="s">
        <v>143</v>
      </c>
      <c r="C563" s="15"/>
      <c r="D563" s="17">
        <f>D574+D577+D584</f>
        <v>12367.98</v>
      </c>
      <c r="E563" s="13">
        <f t="shared" si="44"/>
        <v>1448.9200000000019</v>
      </c>
      <c r="F563" s="17">
        <f>F564+F572</f>
        <v>13816.900000000001</v>
      </c>
      <c r="G563" s="17">
        <f>G574+G577+G584</f>
        <v>12367.98</v>
      </c>
      <c r="H563" s="178">
        <f t="shared" si="47"/>
        <v>886.66000000000167</v>
      </c>
      <c r="I563" s="17">
        <f>I564+I572</f>
        <v>13254.640000000001</v>
      </c>
      <c r="J563" s="169">
        <f>J564+J572</f>
        <v>13254.640000000001</v>
      </c>
      <c r="K563" s="129"/>
    </row>
    <row r="564" spans="1:14" ht="12" customHeight="1">
      <c r="A564" s="28" t="s">
        <v>550</v>
      </c>
      <c r="B564" s="15" t="s">
        <v>549</v>
      </c>
      <c r="C564" s="15"/>
      <c r="D564" s="17"/>
      <c r="E564" s="13">
        <f t="shared" si="44"/>
        <v>12978.400000000001</v>
      </c>
      <c r="F564" s="17">
        <f>SUM(F565:F571)</f>
        <v>12978.400000000001</v>
      </c>
      <c r="G564" s="17"/>
      <c r="H564" s="178">
        <f t="shared" si="47"/>
        <v>12416.140000000001</v>
      </c>
      <c r="I564" s="17">
        <f>SUM(I565:I571)</f>
        <v>12416.140000000001</v>
      </c>
      <c r="J564" s="169">
        <f>SUM(J565:J571)</f>
        <v>12416.140000000001</v>
      </c>
      <c r="K564" s="129"/>
    </row>
    <row r="565" spans="1:14" ht="20.25" customHeight="1">
      <c r="A565" s="28" t="s">
        <v>10</v>
      </c>
      <c r="B565" s="15" t="s">
        <v>549</v>
      </c>
      <c r="C565" s="15" t="s">
        <v>11</v>
      </c>
      <c r="D565" s="17"/>
      <c r="E565" s="13">
        <f t="shared" si="44"/>
        <v>9067.86</v>
      </c>
      <c r="F565" s="17">
        <f>15934.15-6866.29</f>
        <v>9067.86</v>
      </c>
      <c r="G565" s="17"/>
      <c r="H565" s="178">
        <f t="shared" si="47"/>
        <v>9067.86</v>
      </c>
      <c r="I565" s="17">
        <f>15934.15-6866.29</f>
        <v>9067.86</v>
      </c>
      <c r="J565" s="169">
        <f>15934.15-6866.29</f>
        <v>9067.86</v>
      </c>
      <c r="K565" s="181">
        <f t="shared" ref="K565:K571" si="50">I565-J565</f>
        <v>0</v>
      </c>
    </row>
    <row r="566" spans="1:14" ht="29.25" customHeight="1">
      <c r="A566" s="32" t="s">
        <v>15</v>
      </c>
      <c r="B566" s="15" t="s">
        <v>549</v>
      </c>
      <c r="C566" s="15" t="s">
        <v>16</v>
      </c>
      <c r="D566" s="17"/>
      <c r="E566" s="13">
        <f t="shared" si="44"/>
        <v>250.76</v>
      </c>
      <c r="F566" s="17">
        <v>250.76</v>
      </c>
      <c r="G566" s="17"/>
      <c r="H566" s="178">
        <f t="shared" si="47"/>
        <v>250.76</v>
      </c>
      <c r="I566" s="17">
        <v>250.76</v>
      </c>
      <c r="J566" s="169">
        <v>250.76</v>
      </c>
      <c r="K566" s="181">
        <f t="shared" si="50"/>
        <v>0</v>
      </c>
    </row>
    <row r="567" spans="1:14" ht="25.5" customHeight="1">
      <c r="A567" s="28" t="s">
        <v>12</v>
      </c>
      <c r="B567" s="15" t="s">
        <v>549</v>
      </c>
      <c r="C567" s="15" t="s">
        <v>13</v>
      </c>
      <c r="D567" s="17"/>
      <c r="E567" s="13">
        <f t="shared" si="44"/>
        <v>2738.49</v>
      </c>
      <c r="F567" s="17">
        <f>4812.11-2073.62</f>
        <v>2738.49</v>
      </c>
      <c r="G567" s="17"/>
      <c r="H567" s="178">
        <f t="shared" si="47"/>
        <v>2738.49</v>
      </c>
      <c r="I567" s="17">
        <f>4812.11-2073.62</f>
        <v>2738.49</v>
      </c>
      <c r="J567" s="169">
        <f>4812.11-2073.62</f>
        <v>2738.49</v>
      </c>
      <c r="K567" s="181">
        <f t="shared" si="50"/>
        <v>0</v>
      </c>
    </row>
    <row r="568" spans="1:14" ht="27.75" customHeight="1">
      <c r="A568" s="28" t="s">
        <v>19</v>
      </c>
      <c r="B568" s="15" t="s">
        <v>549</v>
      </c>
      <c r="C568" s="15" t="s">
        <v>20</v>
      </c>
      <c r="D568" s="17"/>
      <c r="E568" s="13">
        <f t="shared" si="44"/>
        <v>562.2600000000009</v>
      </c>
      <c r="F568" s="17">
        <f>22756.81-9067.86-250.76-2738.49-6866.29-2073.62-359.03-838.5</f>
        <v>562.2600000000009</v>
      </c>
      <c r="G568" s="17"/>
      <c r="H568" s="178">
        <f t="shared" si="47"/>
        <v>0</v>
      </c>
      <c r="I568" s="179">
        <v>0</v>
      </c>
      <c r="J568" s="169"/>
      <c r="K568" s="181">
        <f t="shared" si="50"/>
        <v>0</v>
      </c>
    </row>
    <row r="569" spans="1:14" ht="42" customHeight="1">
      <c r="A569" s="28" t="s">
        <v>148</v>
      </c>
      <c r="B569" s="15" t="s">
        <v>549</v>
      </c>
      <c r="C569" s="15" t="s">
        <v>149</v>
      </c>
      <c r="D569" s="17"/>
      <c r="E569" s="13">
        <f t="shared" si="44"/>
        <v>0</v>
      </c>
      <c r="F569" s="17"/>
      <c r="G569" s="17"/>
      <c r="H569" s="178">
        <f t="shared" si="47"/>
        <v>0</v>
      </c>
      <c r="I569" s="180">
        <v>0</v>
      </c>
      <c r="J569" s="180">
        <v>0</v>
      </c>
      <c r="K569" s="181">
        <f t="shared" si="50"/>
        <v>0</v>
      </c>
    </row>
    <row r="570" spans="1:14" ht="24" customHeight="1">
      <c r="A570" s="28" t="s">
        <v>30</v>
      </c>
      <c r="B570" s="15" t="s">
        <v>549</v>
      </c>
      <c r="C570" s="15" t="s">
        <v>31</v>
      </c>
      <c r="D570" s="17"/>
      <c r="E570" s="13">
        <f t="shared" ref="E570:E612" si="51">F570-D570</f>
        <v>0</v>
      </c>
      <c r="F570" s="17"/>
      <c r="G570" s="17"/>
      <c r="H570" s="178">
        <f t="shared" si="47"/>
        <v>0</v>
      </c>
      <c r="I570" s="180">
        <v>0</v>
      </c>
      <c r="J570" s="180">
        <v>0</v>
      </c>
      <c r="K570" s="181">
        <f t="shared" si="50"/>
        <v>0</v>
      </c>
    </row>
    <row r="571" spans="1:14" ht="15" customHeight="1">
      <c r="A571" s="28" t="s">
        <v>32</v>
      </c>
      <c r="B571" s="15" t="s">
        <v>549</v>
      </c>
      <c r="C571" s="15" t="s">
        <v>33</v>
      </c>
      <c r="D571" s="17"/>
      <c r="E571" s="13">
        <f t="shared" si="51"/>
        <v>359.03</v>
      </c>
      <c r="F571" s="17">
        <v>359.03</v>
      </c>
      <c r="G571" s="17"/>
      <c r="H571" s="178">
        <f t="shared" si="47"/>
        <v>359.03</v>
      </c>
      <c r="I571" s="17">
        <v>359.03</v>
      </c>
      <c r="J571" s="169">
        <v>359.03</v>
      </c>
      <c r="K571" s="181">
        <f t="shared" si="50"/>
        <v>0</v>
      </c>
    </row>
    <row r="572" spans="1:14" ht="28.5" customHeight="1">
      <c r="A572" s="14" t="s">
        <v>429</v>
      </c>
      <c r="B572" s="15" t="s">
        <v>497</v>
      </c>
      <c r="C572" s="15"/>
      <c r="D572" s="17"/>
      <c r="E572" s="13">
        <f t="shared" si="51"/>
        <v>838.5</v>
      </c>
      <c r="F572" s="17">
        <f>F573</f>
        <v>838.5</v>
      </c>
      <c r="G572" s="17"/>
      <c r="H572" s="178">
        <f t="shared" si="47"/>
        <v>838.5</v>
      </c>
      <c r="I572" s="17">
        <f>I573</f>
        <v>838.5</v>
      </c>
      <c r="J572" s="169">
        <f>J573</f>
        <v>838.5</v>
      </c>
      <c r="K572" s="129"/>
    </row>
    <row r="573" spans="1:14" ht="38.25" customHeight="1">
      <c r="A573" s="28" t="s">
        <v>19</v>
      </c>
      <c r="B573" s="15" t="s">
        <v>497</v>
      </c>
      <c r="C573" s="15" t="s">
        <v>20</v>
      </c>
      <c r="D573" s="17"/>
      <c r="E573" s="13">
        <f t="shared" si="51"/>
        <v>838.5</v>
      </c>
      <c r="F573" s="17">
        <v>838.5</v>
      </c>
      <c r="G573" s="17"/>
      <c r="H573" s="178">
        <f t="shared" si="47"/>
        <v>838.5</v>
      </c>
      <c r="I573" s="17">
        <v>838.5</v>
      </c>
      <c r="J573" s="169">
        <v>838.5</v>
      </c>
      <c r="K573" s="181">
        <f>I573-J573</f>
        <v>0</v>
      </c>
    </row>
    <row r="574" spans="1:14" ht="39.75" customHeight="1">
      <c r="A574" s="28" t="s">
        <v>144</v>
      </c>
      <c r="B574" s="15" t="s">
        <v>145</v>
      </c>
      <c r="C574" s="4"/>
      <c r="D574" s="17">
        <f>SUBTOTAL(9,D575:D576)</f>
        <v>6498.9999999999991</v>
      </c>
      <c r="E574" s="13">
        <f t="shared" si="51"/>
        <v>-6498.9999999999991</v>
      </c>
      <c r="F574" s="17"/>
      <c r="G574" s="17">
        <f>SUBTOTAL(9,G575:G576)</f>
        <v>6498.9999999999991</v>
      </c>
      <c r="H574" s="178">
        <f t="shared" si="47"/>
        <v>-6498.9999999999991</v>
      </c>
      <c r="I574" s="180">
        <v>0</v>
      </c>
      <c r="J574" s="180">
        <v>0</v>
      </c>
      <c r="K574" s="129"/>
    </row>
    <row r="575" spans="1:14" ht="23.25" customHeight="1">
      <c r="A575" s="28" t="s">
        <v>10</v>
      </c>
      <c r="B575" s="15" t="s">
        <v>145</v>
      </c>
      <c r="C575" s="15" t="s">
        <v>11</v>
      </c>
      <c r="D575" s="17">
        <f>15567.9-4078.3-6912.5+565.3</f>
        <v>5142.3999999999987</v>
      </c>
      <c r="E575" s="12">
        <f t="shared" si="51"/>
        <v>-5142.3999999999987</v>
      </c>
      <c r="F575" s="17"/>
      <c r="G575" s="17">
        <f>15567.9-4078.3-6912.5+565.3</f>
        <v>5142.3999999999987</v>
      </c>
      <c r="H575" s="178">
        <f t="shared" si="47"/>
        <v>-5142.3999999999987</v>
      </c>
      <c r="I575" s="180">
        <v>0</v>
      </c>
      <c r="J575" s="180">
        <v>0</v>
      </c>
      <c r="K575" s="181">
        <f>I575-J575</f>
        <v>0</v>
      </c>
    </row>
    <row r="576" spans="1:14" ht="29.25" customHeight="1">
      <c r="A576" s="28" t="s">
        <v>12</v>
      </c>
      <c r="B576" s="15" t="s">
        <v>145</v>
      </c>
      <c r="C576" s="15" t="s">
        <v>13</v>
      </c>
      <c r="D576" s="17">
        <f>4505.1-1231.7-2087.5+170.7</f>
        <v>1356.6000000000006</v>
      </c>
      <c r="E576" s="12">
        <f t="shared" si="51"/>
        <v>-1356.6000000000006</v>
      </c>
      <c r="F576" s="17"/>
      <c r="G576" s="17">
        <f>4505.1-1231.7-2087.5+170.7</f>
        <v>1356.6000000000006</v>
      </c>
      <c r="H576" s="178">
        <f t="shared" si="47"/>
        <v>-1356.6000000000006</v>
      </c>
      <c r="I576" s="180">
        <v>0</v>
      </c>
      <c r="J576" s="180">
        <v>0</v>
      </c>
      <c r="K576" s="181">
        <f>I576-J576</f>
        <v>0</v>
      </c>
    </row>
    <row r="577" spans="1:14" ht="27.75" customHeight="1">
      <c r="A577" s="28" t="s">
        <v>146</v>
      </c>
      <c r="B577" s="15" t="s">
        <v>147</v>
      </c>
      <c r="C577" s="4"/>
      <c r="D577" s="17">
        <f>SUBTOTAL(9,D578:D583)</f>
        <v>5029.4799999999996</v>
      </c>
      <c r="E577" s="13">
        <f t="shared" si="51"/>
        <v>-5029.4799999999996</v>
      </c>
      <c r="F577" s="17"/>
      <c r="G577" s="17">
        <f>SUBTOTAL(9,G578:G583)</f>
        <v>5029.4799999999996</v>
      </c>
      <c r="H577" s="178">
        <f t="shared" si="47"/>
        <v>-5029.4799999999996</v>
      </c>
      <c r="I577" s="180">
        <v>0</v>
      </c>
      <c r="J577" s="180">
        <v>0</v>
      </c>
      <c r="K577" s="129"/>
    </row>
    <row r="578" spans="1:14" ht="27.75" customHeight="1">
      <c r="A578" s="32" t="s">
        <v>15</v>
      </c>
      <c r="B578" s="15" t="s">
        <v>147</v>
      </c>
      <c r="C578" s="15" t="s">
        <v>16</v>
      </c>
      <c r="D578" s="17"/>
      <c r="E578" s="13">
        <f t="shared" si="51"/>
        <v>0</v>
      </c>
      <c r="F578" s="17"/>
      <c r="G578" s="17"/>
      <c r="H578" s="178">
        <f t="shared" si="47"/>
        <v>0</v>
      </c>
      <c r="I578" s="180">
        <v>0</v>
      </c>
      <c r="J578" s="180">
        <v>0</v>
      </c>
      <c r="K578" s="181">
        <f t="shared" ref="K578:K583" si="52">I578-J578</f>
        <v>0</v>
      </c>
    </row>
    <row r="579" spans="1:14" ht="27" customHeight="1">
      <c r="A579" s="28" t="s">
        <v>19</v>
      </c>
      <c r="B579" s="15" t="s">
        <v>147</v>
      </c>
      <c r="C579" s="4">
        <v>244</v>
      </c>
      <c r="D579" s="17">
        <f>32.62+255.6+112.5+475+3560.36</f>
        <v>4436.08</v>
      </c>
      <c r="E579" s="13">
        <f t="shared" si="51"/>
        <v>-4436.08</v>
      </c>
      <c r="F579" s="17"/>
      <c r="G579" s="17">
        <f>32.62+255.6+112.5+475+3560.36</f>
        <v>4436.08</v>
      </c>
      <c r="H579" s="178">
        <f t="shared" si="47"/>
        <v>-4436.08</v>
      </c>
      <c r="I579" s="180">
        <v>0</v>
      </c>
      <c r="J579" s="180">
        <v>0</v>
      </c>
      <c r="K579" s="181">
        <f t="shared" si="52"/>
        <v>0</v>
      </c>
    </row>
    <row r="580" spans="1:14" ht="66.75" customHeight="1">
      <c r="A580" s="28" t="s">
        <v>148</v>
      </c>
      <c r="B580" s="15" t="s">
        <v>147</v>
      </c>
      <c r="C580" s="4" t="s">
        <v>149</v>
      </c>
      <c r="D580" s="17">
        <v>176.4</v>
      </c>
      <c r="E580" s="13">
        <f t="shared" si="51"/>
        <v>-176.4</v>
      </c>
      <c r="F580" s="17"/>
      <c r="G580" s="17">
        <v>176.4</v>
      </c>
      <c r="H580" s="178">
        <f t="shared" si="47"/>
        <v>-176.4</v>
      </c>
      <c r="I580" s="180">
        <v>0</v>
      </c>
      <c r="J580" s="180">
        <v>0</v>
      </c>
      <c r="K580" s="181">
        <f t="shared" si="52"/>
        <v>0</v>
      </c>
    </row>
    <row r="581" spans="1:14" ht="38.25" customHeight="1">
      <c r="A581" s="28" t="s">
        <v>30</v>
      </c>
      <c r="B581" s="15" t="s">
        <v>147</v>
      </c>
      <c r="C581" s="4" t="s">
        <v>31</v>
      </c>
      <c r="D581" s="17">
        <f>288.5</f>
        <v>288.5</v>
      </c>
      <c r="E581" s="13">
        <f t="shared" si="51"/>
        <v>-288.5</v>
      </c>
      <c r="F581" s="17"/>
      <c r="G581" s="17">
        <f>288.5</f>
        <v>288.5</v>
      </c>
      <c r="H581" s="178">
        <f t="shared" si="47"/>
        <v>-288.5</v>
      </c>
      <c r="I581" s="180">
        <v>0</v>
      </c>
      <c r="J581" s="180">
        <v>0</v>
      </c>
      <c r="K581" s="181">
        <f t="shared" si="52"/>
        <v>0</v>
      </c>
    </row>
    <row r="582" spans="1:14" ht="29.25" customHeight="1">
      <c r="A582" s="28" t="s">
        <v>32</v>
      </c>
      <c r="B582" s="15" t="s">
        <v>147</v>
      </c>
      <c r="C582" s="4" t="s">
        <v>33</v>
      </c>
      <c r="D582" s="17">
        <v>80.7</v>
      </c>
      <c r="E582" s="13">
        <f t="shared" si="51"/>
        <v>-80.7</v>
      </c>
      <c r="F582" s="17"/>
      <c r="G582" s="17">
        <v>80.7</v>
      </c>
      <c r="H582" s="178">
        <f t="shared" si="47"/>
        <v>-80.7</v>
      </c>
      <c r="I582" s="180">
        <v>0</v>
      </c>
      <c r="J582" s="180">
        <v>0</v>
      </c>
      <c r="K582" s="181">
        <f t="shared" si="52"/>
        <v>0</v>
      </c>
    </row>
    <row r="583" spans="1:14" ht="29.25" customHeight="1">
      <c r="A583" s="28" t="s">
        <v>21</v>
      </c>
      <c r="B583" s="15" t="s">
        <v>147</v>
      </c>
      <c r="C583" s="4" t="s">
        <v>22</v>
      </c>
      <c r="D583" s="17">
        <f>47.8</f>
        <v>47.8</v>
      </c>
      <c r="E583" s="13">
        <f t="shared" si="51"/>
        <v>-47.8</v>
      </c>
      <c r="F583" s="17"/>
      <c r="G583" s="17">
        <f>47.8</f>
        <v>47.8</v>
      </c>
      <c r="H583" s="178">
        <f t="shared" si="47"/>
        <v>-47.8</v>
      </c>
      <c r="I583" s="180">
        <v>0</v>
      </c>
      <c r="J583" s="180">
        <v>0</v>
      </c>
      <c r="K583" s="181">
        <f t="shared" si="52"/>
        <v>0</v>
      </c>
    </row>
    <row r="584" spans="1:14" ht="30.75" customHeight="1">
      <c r="A584" s="14" t="s">
        <v>429</v>
      </c>
      <c r="B584" s="15" t="s">
        <v>428</v>
      </c>
      <c r="C584" s="4"/>
      <c r="D584" s="17">
        <f>D585</f>
        <v>839.5</v>
      </c>
      <c r="E584" s="13">
        <f t="shared" si="51"/>
        <v>-839.5</v>
      </c>
      <c r="F584" s="17"/>
      <c r="G584" s="17">
        <f>G585</f>
        <v>839.5</v>
      </c>
      <c r="H584" s="178">
        <f t="shared" si="47"/>
        <v>-839.5</v>
      </c>
      <c r="I584" s="180">
        <v>0</v>
      </c>
      <c r="J584" s="180">
        <v>0</v>
      </c>
      <c r="K584" s="129"/>
    </row>
    <row r="585" spans="1:14" ht="33" customHeight="1">
      <c r="A585" s="14" t="s">
        <v>19</v>
      </c>
      <c r="B585" s="15" t="s">
        <v>428</v>
      </c>
      <c r="C585" s="4" t="s">
        <v>20</v>
      </c>
      <c r="D585" s="17">
        <f>814+25.5</f>
        <v>839.5</v>
      </c>
      <c r="E585" s="13">
        <f t="shared" si="51"/>
        <v>-839.5</v>
      </c>
      <c r="F585" s="17"/>
      <c r="G585" s="17">
        <f>814+25.5</f>
        <v>839.5</v>
      </c>
      <c r="H585" s="178">
        <f t="shared" si="47"/>
        <v>-839.5</v>
      </c>
      <c r="I585" s="180">
        <v>0</v>
      </c>
      <c r="J585" s="180">
        <v>0</v>
      </c>
      <c r="K585" s="181">
        <f>I585-J585</f>
        <v>0</v>
      </c>
    </row>
    <row r="586" spans="1:14" ht="15.75" customHeight="1">
      <c r="A586" s="28" t="s">
        <v>150</v>
      </c>
      <c r="B586" s="16" t="s">
        <v>151</v>
      </c>
      <c r="C586" s="4"/>
      <c r="D586" s="17">
        <f>D587+D588</f>
        <v>10366.1</v>
      </c>
      <c r="E586" s="13">
        <f t="shared" si="51"/>
        <v>-864.25</v>
      </c>
      <c r="F586" s="17">
        <f>F587+F588</f>
        <v>9501.85</v>
      </c>
      <c r="G586" s="17">
        <f>G587+G588</f>
        <v>10710.6</v>
      </c>
      <c r="H586" s="178">
        <f t="shared" ref="H586:H649" si="53">I586-G586</f>
        <v>-892.79000000000087</v>
      </c>
      <c r="I586" s="17">
        <f>I587+I588</f>
        <v>9817.81</v>
      </c>
      <c r="J586" s="169">
        <f>J587+J588</f>
        <v>9904.83</v>
      </c>
      <c r="K586" s="129"/>
    </row>
    <row r="587" spans="1:14" ht="40.5" customHeight="1">
      <c r="A587" s="28" t="s">
        <v>139</v>
      </c>
      <c r="B587" s="16" t="s">
        <v>151</v>
      </c>
      <c r="C587" s="4" t="s">
        <v>140</v>
      </c>
      <c r="D587" s="17">
        <f>4015+148</f>
        <v>4163</v>
      </c>
      <c r="E587" s="13">
        <f t="shared" si="51"/>
        <v>5338.85</v>
      </c>
      <c r="F587" s="17">
        <v>9501.85</v>
      </c>
      <c r="G587" s="17">
        <f>4015+492.5</f>
        <v>4507.5</v>
      </c>
      <c r="H587" s="178">
        <f t="shared" si="53"/>
        <v>5310.3099999999995</v>
      </c>
      <c r="I587" s="17">
        <v>9817.81</v>
      </c>
      <c r="J587" s="169">
        <v>9904.83</v>
      </c>
      <c r="K587" s="181">
        <f>I587-J587</f>
        <v>-87.020000000000437</v>
      </c>
    </row>
    <row r="588" spans="1:14" ht="39" customHeight="1">
      <c r="A588" s="28" t="s">
        <v>19</v>
      </c>
      <c r="B588" s="16" t="s">
        <v>151</v>
      </c>
      <c r="C588" s="4" t="s">
        <v>20</v>
      </c>
      <c r="D588" s="17">
        <f>6055.1+148</f>
        <v>6203.1</v>
      </c>
      <c r="E588" s="13">
        <f t="shared" si="51"/>
        <v>-6203.1</v>
      </c>
      <c r="F588" s="17"/>
      <c r="G588" s="17">
        <f>6055.1+148</f>
        <v>6203.1</v>
      </c>
      <c r="H588" s="178">
        <f t="shared" si="53"/>
        <v>-6203.1</v>
      </c>
      <c r="I588" s="180">
        <v>0</v>
      </c>
      <c r="J588" s="180">
        <v>0</v>
      </c>
      <c r="K588" s="181">
        <f>I588-J588</f>
        <v>0</v>
      </c>
    </row>
    <row r="589" spans="1:14" ht="21" customHeight="1">
      <c r="A589" s="28" t="s">
        <v>162</v>
      </c>
      <c r="B589" s="15" t="s">
        <v>163</v>
      </c>
      <c r="C589" s="4"/>
      <c r="D589" s="17">
        <f>D594+D592+D590+D596</f>
        <v>15470.279999999999</v>
      </c>
      <c r="E589" s="13">
        <f t="shared" si="51"/>
        <v>2611.9400000000023</v>
      </c>
      <c r="F589" s="17">
        <f>F590+F594+F596</f>
        <v>18082.22</v>
      </c>
      <c r="G589" s="17">
        <f>G594+G592+G590+G596</f>
        <v>15470.279999999999</v>
      </c>
      <c r="H589" s="178">
        <f t="shared" si="53"/>
        <v>-156.03999999999724</v>
      </c>
      <c r="I589" s="17">
        <f>I590+I594+I596</f>
        <v>15314.240000000002</v>
      </c>
      <c r="J589" s="169">
        <f>J590+J594+J596</f>
        <v>15314.240000000002</v>
      </c>
      <c r="K589" s="129"/>
      <c r="L589" s="47"/>
      <c r="M589" s="47"/>
      <c r="N589" s="47"/>
    </row>
    <row r="590" spans="1:14" ht="21" hidden="1" customHeight="1">
      <c r="A590" s="28" t="s">
        <v>162</v>
      </c>
      <c r="B590" s="15" t="s">
        <v>163</v>
      </c>
      <c r="C590" s="15"/>
      <c r="D590" s="17">
        <f>D591+D612</f>
        <v>15470.279999999999</v>
      </c>
      <c r="E590" s="13">
        <f t="shared" si="51"/>
        <v>977.47000000000116</v>
      </c>
      <c r="F590" s="17">
        <f>F591</f>
        <v>16447.75</v>
      </c>
      <c r="G590" s="17">
        <f>G591+G612</f>
        <v>15470.279999999999</v>
      </c>
      <c r="H590" s="178">
        <f t="shared" si="53"/>
        <v>-406.5199999999968</v>
      </c>
      <c r="I590" s="17">
        <f>I591</f>
        <v>15063.760000000002</v>
      </c>
      <c r="J590" s="169">
        <f>J591</f>
        <v>15063.760000000002</v>
      </c>
      <c r="K590" s="129"/>
    </row>
    <row r="591" spans="1:14" ht="25.5" customHeight="1">
      <c r="A591" s="28" t="s">
        <v>164</v>
      </c>
      <c r="B591" s="15" t="s">
        <v>165</v>
      </c>
      <c r="C591" s="15"/>
      <c r="D591" s="17">
        <f>D601+D604+D610</f>
        <v>15470.279999999999</v>
      </c>
      <c r="E591" s="13">
        <f t="shared" si="51"/>
        <v>977.47000000000116</v>
      </c>
      <c r="F591" s="17">
        <f>F592+F599</f>
        <v>16447.75</v>
      </c>
      <c r="G591" s="17">
        <f>G601+G604+G610</f>
        <v>15470.279999999999</v>
      </c>
      <c r="H591" s="178">
        <f t="shared" si="53"/>
        <v>-406.5199999999968</v>
      </c>
      <c r="I591" s="17">
        <f>I592+I599</f>
        <v>15063.760000000002</v>
      </c>
      <c r="J591" s="169">
        <f>J592+J599</f>
        <v>15063.760000000002</v>
      </c>
      <c r="K591" s="129"/>
    </row>
    <row r="592" spans="1:14" ht="25.5" customHeight="1">
      <c r="A592" s="28" t="s">
        <v>556</v>
      </c>
      <c r="B592" s="15" t="s">
        <v>555</v>
      </c>
      <c r="C592" s="15"/>
      <c r="D592" s="17"/>
      <c r="E592" s="13">
        <f t="shared" si="51"/>
        <v>13595.640000000001</v>
      </c>
      <c r="F592" s="17">
        <f>SUM(F593:F598)</f>
        <v>13595.640000000001</v>
      </c>
      <c r="G592" s="17"/>
      <c r="H592" s="178">
        <f t="shared" si="53"/>
        <v>12211.650000000001</v>
      </c>
      <c r="I592" s="17">
        <f>SUM(I593:I598)</f>
        <v>12211.650000000001</v>
      </c>
      <c r="J592" s="169">
        <f>SUM(J593:J598)</f>
        <v>12211.650000000001</v>
      </c>
      <c r="K592" s="129"/>
    </row>
    <row r="593" spans="1:11" ht="25.5" customHeight="1">
      <c r="A593" s="28" t="s">
        <v>10</v>
      </c>
      <c r="B593" s="15" t="s">
        <v>555</v>
      </c>
      <c r="C593" s="15" t="s">
        <v>11</v>
      </c>
      <c r="D593" s="17"/>
      <c r="E593" s="13">
        <f t="shared" si="51"/>
        <v>9040.5300000000007</v>
      </c>
      <c r="F593" s="17">
        <f>15731.19-6690.66</f>
        <v>9040.5300000000007</v>
      </c>
      <c r="G593" s="17"/>
      <c r="H593" s="178">
        <f t="shared" si="53"/>
        <v>9040.5300000000007</v>
      </c>
      <c r="I593" s="17">
        <f>15731.19-6690.66</f>
        <v>9040.5300000000007</v>
      </c>
      <c r="J593" s="169">
        <f>15731.19-6690.66</f>
        <v>9040.5300000000007</v>
      </c>
      <c r="K593" s="181">
        <f t="shared" ref="K593:K598" si="54">I593-J593</f>
        <v>0</v>
      </c>
    </row>
    <row r="594" spans="1:11" ht="25.5" customHeight="1">
      <c r="A594" s="32" t="s">
        <v>15</v>
      </c>
      <c r="B594" s="15" t="s">
        <v>555</v>
      </c>
      <c r="C594" s="15" t="s">
        <v>16</v>
      </c>
      <c r="D594" s="17"/>
      <c r="E594" s="13">
        <f t="shared" si="51"/>
        <v>250.48</v>
      </c>
      <c r="F594" s="17">
        <v>250.48</v>
      </c>
      <c r="G594" s="17"/>
      <c r="H594" s="178">
        <f t="shared" si="53"/>
        <v>250.48</v>
      </c>
      <c r="I594" s="17">
        <v>250.48</v>
      </c>
      <c r="J594" s="169">
        <v>250.48</v>
      </c>
      <c r="K594" s="181">
        <f t="shared" si="54"/>
        <v>0</v>
      </c>
    </row>
    <row r="595" spans="1:11" ht="25.5" customHeight="1">
      <c r="A595" s="28" t="s">
        <v>12</v>
      </c>
      <c r="B595" s="15" t="s">
        <v>555</v>
      </c>
      <c r="C595" s="15" t="s">
        <v>13</v>
      </c>
      <c r="D595" s="17"/>
      <c r="E595" s="13">
        <f t="shared" si="51"/>
        <v>2730.24</v>
      </c>
      <c r="F595" s="17">
        <f>4750.82-2020.58</f>
        <v>2730.24</v>
      </c>
      <c r="G595" s="17"/>
      <c r="H595" s="178">
        <f t="shared" si="53"/>
        <v>2730.24</v>
      </c>
      <c r="I595" s="17">
        <f>4750.82-2020.58</f>
        <v>2730.24</v>
      </c>
      <c r="J595" s="169">
        <f>4750.82-2020.58</f>
        <v>2730.24</v>
      </c>
      <c r="K595" s="181">
        <f t="shared" si="54"/>
        <v>0</v>
      </c>
    </row>
    <row r="596" spans="1:11" ht="38.25" customHeight="1">
      <c r="A596" s="28" t="s">
        <v>19</v>
      </c>
      <c r="B596" s="15" t="s">
        <v>555</v>
      </c>
      <c r="C596" s="4" t="s">
        <v>20</v>
      </c>
      <c r="D596" s="17"/>
      <c r="E596" s="13">
        <f t="shared" si="51"/>
        <v>1383.9900000000002</v>
      </c>
      <c r="F596" s="17">
        <f>25159-20732.5-190.4-2661.61-190.5</f>
        <v>1383.9900000000002</v>
      </c>
      <c r="G596" s="17"/>
      <c r="H596" s="178">
        <f t="shared" si="53"/>
        <v>0</v>
      </c>
      <c r="I596" s="179">
        <v>0</v>
      </c>
      <c r="J596" s="169"/>
      <c r="K596" s="181">
        <f t="shared" si="54"/>
        <v>0</v>
      </c>
    </row>
    <row r="597" spans="1:11" ht="25.5" customHeight="1">
      <c r="A597" s="28" t="s">
        <v>30</v>
      </c>
      <c r="B597" s="15" t="s">
        <v>555</v>
      </c>
      <c r="C597" s="4" t="s">
        <v>31</v>
      </c>
      <c r="D597" s="17"/>
      <c r="E597" s="13">
        <f t="shared" si="51"/>
        <v>186.95000000000002</v>
      </c>
      <c r="F597" s="17">
        <f>190.4-3.45</f>
        <v>186.95000000000002</v>
      </c>
      <c r="G597" s="17"/>
      <c r="H597" s="178">
        <f t="shared" si="53"/>
        <v>186.95000000000002</v>
      </c>
      <c r="I597" s="17">
        <f>190.4-3.45</f>
        <v>186.95000000000002</v>
      </c>
      <c r="J597" s="169">
        <f>190.4-3.45</f>
        <v>186.95000000000002</v>
      </c>
      <c r="K597" s="181">
        <f t="shared" si="54"/>
        <v>0</v>
      </c>
    </row>
    <row r="598" spans="1:11" ht="36" customHeight="1">
      <c r="A598" s="28" t="s">
        <v>32</v>
      </c>
      <c r="B598" s="15" t="s">
        <v>555</v>
      </c>
      <c r="C598" s="4" t="s">
        <v>33</v>
      </c>
      <c r="D598" s="17"/>
      <c r="E598" s="13">
        <f t="shared" si="51"/>
        <v>3.45</v>
      </c>
      <c r="F598" s="17">
        <v>3.45</v>
      </c>
      <c r="G598" s="17"/>
      <c r="H598" s="178">
        <f t="shared" si="53"/>
        <v>3.45</v>
      </c>
      <c r="I598" s="17">
        <v>3.45</v>
      </c>
      <c r="J598" s="169">
        <v>3.45</v>
      </c>
      <c r="K598" s="181">
        <f t="shared" si="54"/>
        <v>0</v>
      </c>
    </row>
    <row r="599" spans="1:11" ht="25.5" customHeight="1">
      <c r="A599" s="28" t="s">
        <v>434</v>
      </c>
      <c r="B599" s="15" t="s">
        <v>509</v>
      </c>
      <c r="C599" s="4"/>
      <c r="D599" s="17"/>
      <c r="E599" s="13">
        <f t="shared" si="51"/>
        <v>2852.11</v>
      </c>
      <c r="F599" s="17">
        <f>F600</f>
        <v>2852.11</v>
      </c>
      <c r="G599" s="17"/>
      <c r="H599" s="178">
        <f t="shared" si="53"/>
        <v>2852.11</v>
      </c>
      <c r="I599" s="17">
        <f>I600</f>
        <v>2852.11</v>
      </c>
      <c r="J599" s="169">
        <f>J600</f>
        <v>2852.11</v>
      </c>
      <c r="K599" s="129"/>
    </row>
    <row r="600" spans="1:11" ht="25.5" customHeight="1">
      <c r="A600" s="28" t="s">
        <v>19</v>
      </c>
      <c r="B600" s="15" t="s">
        <v>509</v>
      </c>
      <c r="C600" s="4" t="s">
        <v>20</v>
      </c>
      <c r="D600" s="17"/>
      <c r="E600" s="13">
        <f t="shared" si="51"/>
        <v>2852.11</v>
      </c>
      <c r="F600" s="17">
        <f>2661.61+190.5</f>
        <v>2852.11</v>
      </c>
      <c r="G600" s="17"/>
      <c r="H600" s="178">
        <f t="shared" si="53"/>
        <v>2852.11</v>
      </c>
      <c r="I600" s="17">
        <f>2661.61+190.5</f>
        <v>2852.11</v>
      </c>
      <c r="J600" s="169">
        <f>2661.61+190.5</f>
        <v>2852.11</v>
      </c>
      <c r="K600" s="181">
        <f>I600-J600</f>
        <v>0</v>
      </c>
    </row>
    <row r="601" spans="1:11" ht="25.5" customHeight="1">
      <c r="A601" s="28" t="s">
        <v>166</v>
      </c>
      <c r="B601" s="15" t="s">
        <v>167</v>
      </c>
      <c r="C601" s="4"/>
      <c r="D601" s="17">
        <f>SUBTOTAL(9,D602:D603)</f>
        <v>10318.6</v>
      </c>
      <c r="E601" s="13">
        <f t="shared" si="51"/>
        <v>-10318.6</v>
      </c>
      <c r="F601" s="17"/>
      <c r="G601" s="17">
        <f>SUBTOTAL(9,G602:G603)</f>
        <v>10318.6</v>
      </c>
      <c r="H601" s="178">
        <f t="shared" si="53"/>
        <v>-10318.6</v>
      </c>
      <c r="I601" s="180">
        <v>0</v>
      </c>
      <c r="J601" s="180">
        <v>0</v>
      </c>
      <c r="K601" s="129"/>
    </row>
    <row r="602" spans="1:11" ht="25.5" customHeight="1">
      <c r="A602" s="28" t="s">
        <v>10</v>
      </c>
      <c r="B602" s="15" t="s">
        <v>167</v>
      </c>
      <c r="C602" s="15" t="s">
        <v>11</v>
      </c>
      <c r="D602" s="17">
        <f>15762.6-845-6992.6</f>
        <v>7925</v>
      </c>
      <c r="E602" s="13">
        <f t="shared" si="51"/>
        <v>-7925</v>
      </c>
      <c r="F602" s="17"/>
      <c r="G602" s="17">
        <f>15762.6-845-6992.6</f>
        <v>7925</v>
      </c>
      <c r="H602" s="178">
        <f t="shared" si="53"/>
        <v>-7925</v>
      </c>
      <c r="I602" s="180">
        <v>0</v>
      </c>
      <c r="J602" s="180">
        <v>0</v>
      </c>
      <c r="K602" s="181">
        <f>I602-J602</f>
        <v>0</v>
      </c>
    </row>
    <row r="603" spans="1:11" ht="51" customHeight="1">
      <c r="A603" s="28" t="s">
        <v>12</v>
      </c>
      <c r="B603" s="15" t="s">
        <v>167</v>
      </c>
      <c r="C603" s="15" t="s">
        <v>13</v>
      </c>
      <c r="D603" s="17">
        <f>4760.3-255-2111.7</f>
        <v>2393.6000000000004</v>
      </c>
      <c r="E603" s="13">
        <f t="shared" si="51"/>
        <v>-2393.6000000000004</v>
      </c>
      <c r="F603" s="17"/>
      <c r="G603" s="17">
        <f>4760.3-255-2111.7</f>
        <v>2393.6000000000004</v>
      </c>
      <c r="H603" s="178">
        <f t="shared" si="53"/>
        <v>-2393.6000000000004</v>
      </c>
      <c r="I603" s="180">
        <v>0</v>
      </c>
      <c r="J603" s="180">
        <v>0</v>
      </c>
      <c r="K603" s="181">
        <f>I603-J603</f>
        <v>0</v>
      </c>
    </row>
    <row r="604" spans="1:11" ht="25.5" customHeight="1">
      <c r="A604" s="28" t="s">
        <v>168</v>
      </c>
      <c r="B604" s="15" t="s">
        <v>169</v>
      </c>
      <c r="C604" s="4"/>
      <c r="D604" s="17">
        <f>SUBTOTAL(9,D605:D609)</f>
        <v>1802.8799999999999</v>
      </c>
      <c r="E604" s="13">
        <f t="shared" si="51"/>
        <v>-1802.8799999999999</v>
      </c>
      <c r="F604" s="17"/>
      <c r="G604" s="17">
        <f>SUBTOTAL(9,G605:G609)</f>
        <v>1802.8799999999999</v>
      </c>
      <c r="H604" s="178">
        <f t="shared" si="53"/>
        <v>-1802.8799999999999</v>
      </c>
      <c r="I604" s="180">
        <v>0</v>
      </c>
      <c r="J604" s="180">
        <v>0</v>
      </c>
      <c r="K604" s="129"/>
    </row>
    <row r="605" spans="1:11" ht="38.25" customHeight="1">
      <c r="A605" s="32" t="s">
        <v>15</v>
      </c>
      <c r="B605" s="15" t="s">
        <v>169</v>
      </c>
      <c r="C605" s="15" t="s">
        <v>16</v>
      </c>
      <c r="D605" s="17"/>
      <c r="E605" s="13">
        <f t="shared" si="51"/>
        <v>0</v>
      </c>
      <c r="F605" s="17"/>
      <c r="G605" s="17"/>
      <c r="H605" s="178">
        <f t="shared" si="53"/>
        <v>0</v>
      </c>
      <c r="I605" s="180">
        <v>0</v>
      </c>
      <c r="J605" s="180">
        <v>0</v>
      </c>
      <c r="K605" s="181">
        <f>I605-J605</f>
        <v>0</v>
      </c>
    </row>
    <row r="606" spans="1:11" ht="15" customHeight="1">
      <c r="A606" s="28" t="s">
        <v>19</v>
      </c>
      <c r="B606" s="15" t="s">
        <v>169</v>
      </c>
      <c r="C606" s="4">
        <v>244</v>
      </c>
      <c r="D606" s="17">
        <f>33.48+939.1+40+174.7+338</f>
        <v>1525.28</v>
      </c>
      <c r="E606" s="13">
        <f t="shared" si="51"/>
        <v>-1525.28</v>
      </c>
      <c r="F606" s="17"/>
      <c r="G606" s="17">
        <f>33.48+939.1+40+174.7+338</f>
        <v>1525.28</v>
      </c>
      <c r="H606" s="178">
        <f t="shared" si="53"/>
        <v>-1525.28</v>
      </c>
      <c r="I606" s="180">
        <v>0</v>
      </c>
      <c r="J606" s="180">
        <v>0</v>
      </c>
      <c r="K606" s="181">
        <f>I606-J606</f>
        <v>0</v>
      </c>
    </row>
    <row r="607" spans="1:11" ht="38.25" customHeight="1">
      <c r="A607" s="28" t="s">
        <v>30</v>
      </c>
      <c r="B607" s="15" t="s">
        <v>169</v>
      </c>
      <c r="C607" s="4" t="s">
        <v>31</v>
      </c>
      <c r="D607" s="17">
        <f>56.2+220.8</f>
        <v>277</v>
      </c>
      <c r="E607" s="13">
        <f t="shared" si="51"/>
        <v>-277</v>
      </c>
      <c r="F607" s="17"/>
      <c r="G607" s="17">
        <f>56.2+220.8</f>
        <v>277</v>
      </c>
      <c r="H607" s="178">
        <f t="shared" si="53"/>
        <v>-277</v>
      </c>
      <c r="I607" s="180">
        <v>0</v>
      </c>
      <c r="J607" s="180">
        <v>0</v>
      </c>
      <c r="K607" s="181">
        <f>I607-J607</f>
        <v>0</v>
      </c>
    </row>
    <row r="608" spans="1:11" ht="38.25" customHeight="1">
      <c r="A608" s="28" t="s">
        <v>32</v>
      </c>
      <c r="B608" s="15" t="s">
        <v>169</v>
      </c>
      <c r="C608" s="4" t="s">
        <v>33</v>
      </c>
      <c r="D608" s="17">
        <v>0.6</v>
      </c>
      <c r="E608" s="13">
        <f t="shared" si="51"/>
        <v>-0.6</v>
      </c>
      <c r="F608" s="17"/>
      <c r="G608" s="17">
        <v>0.6</v>
      </c>
      <c r="H608" s="178">
        <f t="shared" si="53"/>
        <v>-0.6</v>
      </c>
      <c r="I608" s="180">
        <v>0</v>
      </c>
      <c r="J608" s="180">
        <v>0</v>
      </c>
      <c r="K608" s="181">
        <f>I608-J608</f>
        <v>0</v>
      </c>
    </row>
    <row r="609" spans="1:14" ht="25.5" customHeight="1">
      <c r="A609" s="28" t="s">
        <v>21</v>
      </c>
      <c r="B609" s="15" t="s">
        <v>169</v>
      </c>
      <c r="C609" s="4" t="s">
        <v>22</v>
      </c>
      <c r="D609" s="17"/>
      <c r="E609" s="13">
        <f t="shared" si="51"/>
        <v>0</v>
      </c>
      <c r="F609" s="17"/>
      <c r="G609" s="17"/>
      <c r="H609" s="178">
        <f t="shared" si="53"/>
        <v>0</v>
      </c>
      <c r="I609" s="180">
        <v>0</v>
      </c>
      <c r="J609" s="180">
        <v>0</v>
      </c>
      <c r="K609" s="181">
        <f>I609-J609</f>
        <v>0</v>
      </c>
    </row>
    <row r="610" spans="1:14" ht="38.25" customHeight="1">
      <c r="A610" s="28" t="s">
        <v>434</v>
      </c>
      <c r="B610" s="15" t="s">
        <v>433</v>
      </c>
      <c r="C610" s="4"/>
      <c r="D610" s="17">
        <f>D611</f>
        <v>3348.8</v>
      </c>
      <c r="E610" s="13">
        <f t="shared" si="51"/>
        <v>-3348.8</v>
      </c>
      <c r="F610" s="17"/>
      <c r="G610" s="17">
        <f>G611</f>
        <v>3348.8</v>
      </c>
      <c r="H610" s="178">
        <f t="shared" si="53"/>
        <v>-3348.8</v>
      </c>
      <c r="I610" s="180">
        <v>0</v>
      </c>
      <c r="J610" s="180">
        <v>0</v>
      </c>
      <c r="K610" s="129"/>
    </row>
    <row r="611" spans="1:14" ht="38.25" customHeight="1">
      <c r="A611" s="28" t="s">
        <v>19</v>
      </c>
      <c r="B611" s="15" t="s">
        <v>433</v>
      </c>
      <c r="C611" s="4" t="s">
        <v>20</v>
      </c>
      <c r="D611" s="17">
        <v>3348.8</v>
      </c>
      <c r="E611" s="13">
        <f t="shared" si="51"/>
        <v>-3348.8</v>
      </c>
      <c r="F611" s="17"/>
      <c r="G611" s="17">
        <v>3348.8</v>
      </c>
      <c r="H611" s="178">
        <f t="shared" si="53"/>
        <v>-3348.8</v>
      </c>
      <c r="I611" s="180">
        <v>0</v>
      </c>
      <c r="J611" s="180">
        <v>0</v>
      </c>
      <c r="K611" s="181">
        <f>I611-J611</f>
        <v>0</v>
      </c>
    </row>
    <row r="612" spans="1:14" ht="25.5" customHeight="1">
      <c r="A612" s="28" t="s">
        <v>170</v>
      </c>
      <c r="B612" s="15" t="s">
        <v>171</v>
      </c>
      <c r="C612" s="4"/>
      <c r="D612" s="17">
        <f>D614</f>
        <v>0</v>
      </c>
      <c r="E612" s="13">
        <f t="shared" si="51"/>
        <v>0</v>
      </c>
      <c r="F612" s="17"/>
      <c r="G612" s="17">
        <f>G614</f>
        <v>0</v>
      </c>
      <c r="H612" s="178">
        <f t="shared" si="53"/>
        <v>0</v>
      </c>
      <c r="I612" s="180">
        <v>0</v>
      </c>
      <c r="J612" s="180">
        <v>0</v>
      </c>
      <c r="K612" s="129"/>
    </row>
    <row r="613" spans="1:14" ht="25.5" hidden="1" customHeight="1">
      <c r="A613" s="28" t="s">
        <v>170</v>
      </c>
      <c r="B613" s="15" t="s">
        <v>171</v>
      </c>
      <c r="C613" s="4"/>
      <c r="D613" s="17"/>
      <c r="E613" s="13"/>
      <c r="F613" s="17"/>
      <c r="G613" s="17"/>
      <c r="H613" s="178">
        <f t="shared" si="53"/>
        <v>0</v>
      </c>
      <c r="I613" s="180">
        <v>0</v>
      </c>
      <c r="J613" s="180">
        <v>0</v>
      </c>
      <c r="K613" s="129"/>
    </row>
    <row r="614" spans="1:14" ht="25.5" customHeight="1">
      <c r="A614" s="28" t="s">
        <v>19</v>
      </c>
      <c r="B614" s="15" t="s">
        <v>171</v>
      </c>
      <c r="C614" s="4" t="s">
        <v>20</v>
      </c>
      <c r="D614" s="17"/>
      <c r="E614" s="13">
        <f t="shared" ref="E614:E645" si="55">F614-D614</f>
        <v>0</v>
      </c>
      <c r="F614" s="17"/>
      <c r="G614" s="17"/>
      <c r="H614" s="178">
        <f t="shared" si="53"/>
        <v>0</v>
      </c>
      <c r="I614" s="180">
        <v>0</v>
      </c>
      <c r="J614" s="180">
        <v>0</v>
      </c>
      <c r="K614" s="181">
        <f>I614-J614</f>
        <v>0</v>
      </c>
    </row>
    <row r="615" spans="1:14" ht="25.5" customHeight="1">
      <c r="A615" s="28" t="s">
        <v>176</v>
      </c>
      <c r="B615" s="15" t="s">
        <v>177</v>
      </c>
      <c r="C615" s="4"/>
      <c r="D615" s="17">
        <f>D616</f>
        <v>2734.2</v>
      </c>
      <c r="E615" s="13">
        <f t="shared" si="55"/>
        <v>3106</v>
      </c>
      <c r="F615" s="17">
        <f>F616</f>
        <v>5840.2</v>
      </c>
      <c r="G615" s="17">
        <f>G616</f>
        <v>2734.2</v>
      </c>
      <c r="H615" s="178">
        <f t="shared" si="53"/>
        <v>3106</v>
      </c>
      <c r="I615" s="17">
        <f>I616</f>
        <v>5840.2</v>
      </c>
      <c r="J615" s="169">
        <f>J616</f>
        <v>5840.2</v>
      </c>
      <c r="K615" s="129"/>
      <c r="L615" s="47"/>
      <c r="M615" s="47"/>
      <c r="N615" s="47"/>
    </row>
    <row r="616" spans="1:14" ht="25.5" customHeight="1">
      <c r="A616" s="28" t="s">
        <v>61</v>
      </c>
      <c r="B616" s="15" t="s">
        <v>177</v>
      </c>
      <c r="C616" s="4" t="s">
        <v>62</v>
      </c>
      <c r="D616" s="17">
        <v>2734.2</v>
      </c>
      <c r="E616" s="13">
        <f t="shared" si="55"/>
        <v>3106</v>
      </c>
      <c r="F616" s="17">
        <v>5840.2</v>
      </c>
      <c r="G616" s="17">
        <v>2734.2</v>
      </c>
      <c r="H616" s="178">
        <f t="shared" si="53"/>
        <v>3106</v>
      </c>
      <c r="I616" s="17">
        <v>5840.2</v>
      </c>
      <c r="J616" s="169">
        <v>5840.2</v>
      </c>
      <c r="K616" s="129" t="s">
        <v>523</v>
      </c>
      <c r="L616" s="47"/>
      <c r="M616" s="47"/>
      <c r="N616" s="47"/>
    </row>
    <row r="617" spans="1:14" ht="25.5" customHeight="1">
      <c r="A617" s="28" t="s">
        <v>178</v>
      </c>
      <c r="B617" s="15" t="s">
        <v>179</v>
      </c>
      <c r="C617" s="4"/>
      <c r="D617" s="17">
        <f>D618</f>
        <v>99.7</v>
      </c>
      <c r="E617" s="13">
        <f t="shared" si="55"/>
        <v>-9.2000000000000028</v>
      </c>
      <c r="F617" s="17">
        <f>F618</f>
        <v>90.5</v>
      </c>
      <c r="G617" s="17">
        <f>G618</f>
        <v>99.7</v>
      </c>
      <c r="H617" s="178">
        <f t="shared" si="53"/>
        <v>-9.2000000000000028</v>
      </c>
      <c r="I617" s="17">
        <f>I618</f>
        <v>90.5</v>
      </c>
      <c r="J617" s="169">
        <f>J618</f>
        <v>90.5</v>
      </c>
      <c r="K617" s="129"/>
      <c r="L617" s="47"/>
      <c r="M617" s="47"/>
      <c r="N617" s="47"/>
    </row>
    <row r="618" spans="1:14" ht="38.25" customHeight="1">
      <c r="A618" s="28" t="s">
        <v>61</v>
      </c>
      <c r="B618" s="15" t="s">
        <v>179</v>
      </c>
      <c r="C618" s="4" t="s">
        <v>62</v>
      </c>
      <c r="D618" s="17">
        <v>99.7</v>
      </c>
      <c r="E618" s="13">
        <f t="shared" si="55"/>
        <v>-9.2000000000000028</v>
      </c>
      <c r="F618" s="17">
        <v>90.5</v>
      </c>
      <c r="G618" s="17">
        <v>99.7</v>
      </c>
      <c r="H618" s="178">
        <f t="shared" si="53"/>
        <v>-9.2000000000000028</v>
      </c>
      <c r="I618" s="17">
        <v>90.5</v>
      </c>
      <c r="J618" s="169">
        <v>90.5</v>
      </c>
      <c r="K618" s="129" t="s">
        <v>523</v>
      </c>
      <c r="L618" s="47"/>
      <c r="M618" s="47"/>
      <c r="N618" s="47"/>
    </row>
    <row r="619" spans="1:14" ht="16.5" customHeight="1">
      <c r="A619" s="28" t="s">
        <v>172</v>
      </c>
      <c r="B619" s="15" t="s">
        <v>173</v>
      </c>
      <c r="C619" s="4"/>
      <c r="D619" s="17">
        <f>D620</f>
        <v>909</v>
      </c>
      <c r="E619" s="13">
        <f t="shared" si="55"/>
        <v>-284.96000000000004</v>
      </c>
      <c r="F619" s="17">
        <f>F620</f>
        <v>624.04</v>
      </c>
      <c r="G619" s="17">
        <f>G620</f>
        <v>909</v>
      </c>
      <c r="H619" s="178">
        <f t="shared" si="53"/>
        <v>-290.30999999999995</v>
      </c>
      <c r="I619" s="17">
        <f>I620</f>
        <v>618.69000000000005</v>
      </c>
      <c r="J619" s="169">
        <f>J620</f>
        <v>598.59</v>
      </c>
      <c r="K619" s="129"/>
      <c r="L619" s="47"/>
      <c r="M619" s="47"/>
      <c r="N619" s="47"/>
    </row>
    <row r="620" spans="1:14" ht="28.5" customHeight="1">
      <c r="A620" s="28" t="s">
        <v>19</v>
      </c>
      <c r="B620" s="15" t="s">
        <v>173</v>
      </c>
      <c r="C620" s="4" t="s">
        <v>20</v>
      </c>
      <c r="D620" s="17">
        <f>900+9</f>
        <v>909</v>
      </c>
      <c r="E620" s="13">
        <f t="shared" si="55"/>
        <v>-284.96000000000004</v>
      </c>
      <c r="F620" s="17">
        <f>617.8+6.24</f>
        <v>624.04</v>
      </c>
      <c r="G620" s="17">
        <f>900+9</f>
        <v>909</v>
      </c>
      <c r="H620" s="178">
        <f t="shared" si="53"/>
        <v>-290.30999999999995</v>
      </c>
      <c r="I620" s="17">
        <f>612.5+6.19</f>
        <v>618.69000000000005</v>
      </c>
      <c r="J620" s="169">
        <f>592.6+5.99</f>
        <v>598.59</v>
      </c>
      <c r="K620" s="129" t="s">
        <v>524</v>
      </c>
      <c r="L620" s="1">
        <f>617.8/99</f>
        <v>6.24040404040404</v>
      </c>
      <c r="M620" s="1">
        <f>612.5/99</f>
        <v>6.1868686868686869</v>
      </c>
      <c r="N620" s="1">
        <f>592.6/99</f>
        <v>5.985858585858586</v>
      </c>
    </row>
    <row r="621" spans="1:14" ht="51" customHeight="1">
      <c r="A621" s="28" t="s">
        <v>174</v>
      </c>
      <c r="B621" s="15" t="s">
        <v>175</v>
      </c>
      <c r="C621" s="4"/>
      <c r="D621" s="17">
        <f>D622</f>
        <v>0</v>
      </c>
      <c r="E621" s="13">
        <f t="shared" si="55"/>
        <v>0</v>
      </c>
      <c r="F621" s="17"/>
      <c r="G621" s="17">
        <f>G622</f>
        <v>0</v>
      </c>
      <c r="H621" s="178">
        <f t="shared" si="53"/>
        <v>0</v>
      </c>
      <c r="I621" s="180">
        <v>0</v>
      </c>
      <c r="J621" s="180">
        <v>0</v>
      </c>
      <c r="K621" s="129"/>
      <c r="L621" s="47"/>
      <c r="M621" s="47"/>
      <c r="N621" s="47"/>
    </row>
    <row r="622" spans="1:14" ht="25.5" customHeight="1">
      <c r="A622" s="28" t="s">
        <v>61</v>
      </c>
      <c r="B622" s="15" t="s">
        <v>175</v>
      </c>
      <c r="C622" s="4" t="s">
        <v>62</v>
      </c>
      <c r="D622" s="17"/>
      <c r="E622" s="13">
        <f t="shared" si="55"/>
        <v>0</v>
      </c>
      <c r="F622" s="17"/>
      <c r="G622" s="17"/>
      <c r="H622" s="178">
        <f t="shared" si="53"/>
        <v>0</v>
      </c>
      <c r="I622" s="180">
        <v>0</v>
      </c>
      <c r="J622" s="180">
        <v>0</v>
      </c>
      <c r="K622" s="181">
        <f>I622-J622</f>
        <v>0</v>
      </c>
      <c r="L622" s="47"/>
      <c r="M622" s="47"/>
      <c r="N622" s="47"/>
    </row>
    <row r="623" spans="1:14" ht="25.5" customHeight="1">
      <c r="A623" s="28" t="s">
        <v>155</v>
      </c>
      <c r="B623" s="15" t="s">
        <v>156</v>
      </c>
      <c r="C623" s="4"/>
      <c r="D623" s="17">
        <f>D624+D644</f>
        <v>24.4</v>
      </c>
      <c r="E623" s="13">
        <f t="shared" si="55"/>
        <v>7103.9900000000007</v>
      </c>
      <c r="F623" s="17">
        <f>F624</f>
        <v>7128.39</v>
      </c>
      <c r="G623" s="17">
        <f>G624+G644</f>
        <v>24.4</v>
      </c>
      <c r="H623" s="178">
        <f t="shared" si="53"/>
        <v>6347.4400000000005</v>
      </c>
      <c r="I623" s="17">
        <f>I624</f>
        <v>6371.84</v>
      </c>
      <c r="J623" s="169">
        <f>J624</f>
        <v>6371.84</v>
      </c>
      <c r="K623" s="129"/>
    </row>
    <row r="624" spans="1:14" ht="42" hidden="1" customHeight="1">
      <c r="A624" s="28" t="s">
        <v>155</v>
      </c>
      <c r="B624" s="15" t="s">
        <v>156</v>
      </c>
      <c r="C624" s="4"/>
      <c r="D624" s="17"/>
      <c r="E624" s="13">
        <f t="shared" si="55"/>
        <v>7128.39</v>
      </c>
      <c r="F624" s="17">
        <f>F625</f>
        <v>7128.39</v>
      </c>
      <c r="G624" s="17"/>
      <c r="H624" s="178">
        <f t="shared" si="53"/>
        <v>6371.84</v>
      </c>
      <c r="I624" s="17">
        <f>I625</f>
        <v>6371.84</v>
      </c>
      <c r="J624" s="169">
        <f>J625</f>
        <v>6371.84</v>
      </c>
      <c r="K624" s="129"/>
      <c r="L624" s="47"/>
      <c r="M624" s="47"/>
      <c r="N624" s="47"/>
    </row>
    <row r="625" spans="1:11" ht="25.5" customHeight="1">
      <c r="A625" s="28" t="s">
        <v>157</v>
      </c>
      <c r="B625" s="15" t="s">
        <v>158</v>
      </c>
      <c r="C625" s="15"/>
      <c r="D625" s="17">
        <f>D636+D639</f>
        <v>7987.8099999999986</v>
      </c>
      <c r="E625" s="13">
        <f t="shared" si="55"/>
        <v>-859.41999999999825</v>
      </c>
      <c r="F625" s="17">
        <f>F626+F634</f>
        <v>7128.39</v>
      </c>
      <c r="G625" s="17">
        <f>G636+G639</f>
        <v>7987.8099999999986</v>
      </c>
      <c r="H625" s="178">
        <f t="shared" si="53"/>
        <v>-1615.9699999999984</v>
      </c>
      <c r="I625" s="17">
        <f>I626+I634</f>
        <v>6371.84</v>
      </c>
      <c r="J625" s="169">
        <f>J626+J634</f>
        <v>6371.84</v>
      </c>
      <c r="K625" s="129"/>
    </row>
    <row r="626" spans="1:11" ht="28.5" customHeight="1">
      <c r="A626" s="28" t="s">
        <v>554</v>
      </c>
      <c r="B626" s="15" t="s">
        <v>553</v>
      </c>
      <c r="C626" s="15"/>
      <c r="D626" s="17"/>
      <c r="E626" s="13">
        <f t="shared" si="55"/>
        <v>6693.0300000000007</v>
      </c>
      <c r="F626" s="17">
        <f>SUM(F627:F633)</f>
        <v>6693.0300000000007</v>
      </c>
      <c r="G626" s="17"/>
      <c r="H626" s="178">
        <f t="shared" si="53"/>
        <v>5936.4800000000005</v>
      </c>
      <c r="I626" s="17">
        <f>SUM(I627:I633)</f>
        <v>5936.4800000000005</v>
      </c>
      <c r="J626" s="169">
        <f>SUM(J627:J633)</f>
        <v>5936.4800000000005</v>
      </c>
      <c r="K626" s="129"/>
    </row>
    <row r="627" spans="1:11" ht="25.5" customHeight="1">
      <c r="A627" s="28" t="s">
        <v>10</v>
      </c>
      <c r="B627" s="15" t="s">
        <v>553</v>
      </c>
      <c r="C627" s="15" t="s">
        <v>11</v>
      </c>
      <c r="D627" s="17"/>
      <c r="E627" s="13">
        <f t="shared" si="55"/>
        <v>4265.21</v>
      </c>
      <c r="F627" s="17">
        <f>6356.04-2090.83</f>
        <v>4265.21</v>
      </c>
      <c r="G627" s="17"/>
      <c r="H627" s="178">
        <f t="shared" si="53"/>
        <v>4265.21</v>
      </c>
      <c r="I627" s="17">
        <f>6356.04-2090.83</f>
        <v>4265.21</v>
      </c>
      <c r="J627" s="169">
        <f>6356.04-2090.83</f>
        <v>4265.21</v>
      </c>
      <c r="K627" s="181">
        <f t="shared" ref="K627:K633" si="56">I627-J627</f>
        <v>0</v>
      </c>
    </row>
    <row r="628" spans="1:11" ht="25.5" customHeight="1">
      <c r="A628" s="32" t="s">
        <v>15</v>
      </c>
      <c r="B628" s="15" t="s">
        <v>553</v>
      </c>
      <c r="C628" s="15" t="s">
        <v>16</v>
      </c>
      <c r="D628" s="17"/>
      <c r="E628" s="13">
        <f t="shared" si="55"/>
        <v>277.2</v>
      </c>
      <c r="F628" s="17">
        <v>277.2</v>
      </c>
      <c r="G628" s="17"/>
      <c r="H628" s="178">
        <f t="shared" si="53"/>
        <v>277.2</v>
      </c>
      <c r="I628" s="17">
        <v>277.2</v>
      </c>
      <c r="J628" s="169">
        <v>277.2</v>
      </c>
      <c r="K628" s="181">
        <f t="shared" si="56"/>
        <v>0</v>
      </c>
    </row>
    <row r="629" spans="1:11" ht="38.25" customHeight="1">
      <c r="A629" s="28" t="s">
        <v>12</v>
      </c>
      <c r="B629" s="15" t="s">
        <v>553</v>
      </c>
      <c r="C629" s="15" t="s">
        <v>13</v>
      </c>
      <c r="D629" s="17"/>
      <c r="E629" s="13">
        <f t="shared" si="55"/>
        <v>1288.0900000000001</v>
      </c>
      <c r="F629" s="17">
        <f>1919.52-631.43</f>
        <v>1288.0900000000001</v>
      </c>
      <c r="G629" s="17"/>
      <c r="H629" s="178">
        <f t="shared" si="53"/>
        <v>1288.0900000000001</v>
      </c>
      <c r="I629" s="17">
        <f>1919.52-631.43</f>
        <v>1288.0900000000001</v>
      </c>
      <c r="J629" s="169">
        <f>1919.52-631.43</f>
        <v>1288.0900000000001</v>
      </c>
      <c r="K629" s="181">
        <f t="shared" si="56"/>
        <v>0</v>
      </c>
    </row>
    <row r="630" spans="1:11" ht="25.5" customHeight="1">
      <c r="A630" s="28" t="s">
        <v>19</v>
      </c>
      <c r="B630" s="15" t="s">
        <v>553</v>
      </c>
      <c r="C630" s="4" t="s">
        <v>20</v>
      </c>
      <c r="D630" s="17"/>
      <c r="E630" s="13">
        <f t="shared" si="55"/>
        <v>756.54999999999984</v>
      </c>
      <c r="F630" s="17">
        <f>9850.65-4265.21-277.2-1288.09-2090.83-631.43-88.7-2.6-14.68-435.36</f>
        <v>756.54999999999984</v>
      </c>
      <c r="G630" s="17"/>
      <c r="H630" s="178">
        <f t="shared" si="53"/>
        <v>0</v>
      </c>
      <c r="I630" s="179">
        <v>0</v>
      </c>
      <c r="J630" s="169"/>
      <c r="K630" s="181">
        <f t="shared" si="56"/>
        <v>0</v>
      </c>
    </row>
    <row r="631" spans="1:11" ht="27.75" customHeight="1">
      <c r="A631" s="28" t="s">
        <v>30</v>
      </c>
      <c r="B631" s="15" t="s">
        <v>553</v>
      </c>
      <c r="C631" s="15" t="s">
        <v>31</v>
      </c>
      <c r="D631" s="17"/>
      <c r="E631" s="13">
        <f t="shared" si="55"/>
        <v>88.7</v>
      </c>
      <c r="F631" s="17">
        <v>88.7</v>
      </c>
      <c r="G631" s="17"/>
      <c r="H631" s="178">
        <f t="shared" si="53"/>
        <v>88.7</v>
      </c>
      <c r="I631" s="17">
        <v>88.7</v>
      </c>
      <c r="J631" s="169">
        <v>88.7</v>
      </c>
      <c r="K631" s="181">
        <f t="shared" si="56"/>
        <v>0</v>
      </c>
    </row>
    <row r="632" spans="1:11" ht="25.5" customHeight="1">
      <c r="A632" s="28" t="s">
        <v>30</v>
      </c>
      <c r="B632" s="15" t="s">
        <v>553</v>
      </c>
      <c r="C632" s="15" t="s">
        <v>33</v>
      </c>
      <c r="D632" s="17"/>
      <c r="E632" s="13">
        <f t="shared" si="55"/>
        <v>2.6</v>
      </c>
      <c r="F632" s="17">
        <v>2.6</v>
      </c>
      <c r="G632" s="17"/>
      <c r="H632" s="178">
        <f t="shared" si="53"/>
        <v>2.6</v>
      </c>
      <c r="I632" s="17">
        <v>2.6</v>
      </c>
      <c r="J632" s="169">
        <v>2.6</v>
      </c>
      <c r="K632" s="181">
        <f t="shared" si="56"/>
        <v>0</v>
      </c>
    </row>
    <row r="633" spans="1:11" ht="25.5" customHeight="1">
      <c r="A633" s="28" t="s">
        <v>21</v>
      </c>
      <c r="B633" s="15" t="s">
        <v>553</v>
      </c>
      <c r="C633" s="15" t="s">
        <v>22</v>
      </c>
      <c r="D633" s="17"/>
      <c r="E633" s="13">
        <f t="shared" si="55"/>
        <v>14.680000000000001</v>
      </c>
      <c r="F633" s="17">
        <f>105.98-88.7-2.6</f>
        <v>14.680000000000001</v>
      </c>
      <c r="G633" s="17"/>
      <c r="H633" s="178">
        <f t="shared" si="53"/>
        <v>14.680000000000001</v>
      </c>
      <c r="I633" s="17">
        <f>105.98-88.7-2.6</f>
        <v>14.680000000000001</v>
      </c>
      <c r="J633" s="169">
        <f>105.98-88.7-2.6</f>
        <v>14.680000000000001</v>
      </c>
      <c r="K633" s="181">
        <f t="shared" si="56"/>
        <v>0</v>
      </c>
    </row>
    <row r="634" spans="1:11" ht="31.5" customHeight="1">
      <c r="A634" s="14" t="s">
        <v>431</v>
      </c>
      <c r="B634" s="15" t="s">
        <v>498</v>
      </c>
      <c r="C634" s="15"/>
      <c r="D634" s="17"/>
      <c r="E634" s="13">
        <f t="shared" si="55"/>
        <v>435.36</v>
      </c>
      <c r="F634" s="17">
        <f>F635</f>
        <v>435.36</v>
      </c>
      <c r="G634" s="17"/>
      <c r="H634" s="178">
        <f t="shared" si="53"/>
        <v>435.36</v>
      </c>
      <c r="I634" s="17">
        <f>I635</f>
        <v>435.36</v>
      </c>
      <c r="J634" s="169">
        <f>J635</f>
        <v>435.36</v>
      </c>
      <c r="K634" s="129"/>
    </row>
    <row r="635" spans="1:11" ht="25.5" customHeight="1">
      <c r="A635" s="28" t="s">
        <v>19</v>
      </c>
      <c r="B635" s="15" t="s">
        <v>498</v>
      </c>
      <c r="C635" s="4" t="s">
        <v>20</v>
      </c>
      <c r="D635" s="17"/>
      <c r="E635" s="13">
        <f t="shared" si="55"/>
        <v>435.36</v>
      </c>
      <c r="F635" s="17">
        <v>435.36</v>
      </c>
      <c r="G635" s="17"/>
      <c r="H635" s="178">
        <f t="shared" si="53"/>
        <v>435.36</v>
      </c>
      <c r="I635" s="17">
        <v>435.36</v>
      </c>
      <c r="J635" s="169">
        <v>435.36</v>
      </c>
      <c r="K635" s="181">
        <f>I635-J635</f>
        <v>0</v>
      </c>
    </row>
    <row r="636" spans="1:11" ht="15" customHeight="1">
      <c r="A636" s="28" t="s">
        <v>159</v>
      </c>
      <c r="B636" s="15" t="s">
        <v>160</v>
      </c>
      <c r="C636" s="4"/>
      <c r="D636" s="17">
        <f>SUBTOTAL(9,D637:D638)</f>
        <v>7368.6999999999989</v>
      </c>
      <c r="E636" s="13">
        <f t="shared" si="55"/>
        <v>-7368.6999999999989</v>
      </c>
      <c r="F636" s="17"/>
      <c r="G636" s="17">
        <f>SUBTOTAL(9,G637:G638)</f>
        <v>7368.6999999999989</v>
      </c>
      <c r="H636" s="178">
        <f t="shared" si="53"/>
        <v>-7368.6999999999989</v>
      </c>
      <c r="I636" s="180">
        <v>0</v>
      </c>
      <c r="J636" s="180">
        <v>0</v>
      </c>
      <c r="K636" s="129"/>
    </row>
    <row r="637" spans="1:11" ht="25.5" customHeight="1">
      <c r="A637" s="28" t="s">
        <v>10</v>
      </c>
      <c r="B637" s="15" t="s">
        <v>160</v>
      </c>
      <c r="C637" s="15" t="s">
        <v>11</v>
      </c>
      <c r="D637" s="17">
        <f>6197.2-537.6</f>
        <v>5659.5999999999995</v>
      </c>
      <c r="E637" s="13">
        <f t="shared" si="55"/>
        <v>-5659.5999999999995</v>
      </c>
      <c r="F637" s="17"/>
      <c r="G637" s="17">
        <f>6197.2-537.6</f>
        <v>5659.5999999999995</v>
      </c>
      <c r="H637" s="178">
        <f t="shared" si="53"/>
        <v>-5659.5999999999995</v>
      </c>
      <c r="I637" s="180">
        <v>0</v>
      </c>
      <c r="J637" s="180">
        <v>0</v>
      </c>
      <c r="K637" s="181">
        <f>I637-J637</f>
        <v>0</v>
      </c>
    </row>
    <row r="638" spans="1:11" ht="15" customHeight="1">
      <c r="A638" s="28" t="s">
        <v>12</v>
      </c>
      <c r="B638" s="15" t="s">
        <v>160</v>
      </c>
      <c r="C638" s="15" t="s">
        <v>13</v>
      </c>
      <c r="D638" s="17">
        <f>1871.5-162.4</f>
        <v>1709.1</v>
      </c>
      <c r="E638" s="13">
        <f t="shared" si="55"/>
        <v>-1709.1</v>
      </c>
      <c r="F638" s="17"/>
      <c r="G638" s="17">
        <f>1871.5-162.4</f>
        <v>1709.1</v>
      </c>
      <c r="H638" s="178">
        <f t="shared" si="53"/>
        <v>-1709.1</v>
      </c>
      <c r="I638" s="180">
        <v>0</v>
      </c>
      <c r="J638" s="180">
        <v>0</v>
      </c>
      <c r="K638" s="181">
        <f>I638-J638</f>
        <v>0</v>
      </c>
    </row>
    <row r="639" spans="1:11" ht="40.5" customHeight="1">
      <c r="A639" s="28" t="s">
        <v>430</v>
      </c>
      <c r="B639" s="15" t="s">
        <v>161</v>
      </c>
      <c r="C639" s="4"/>
      <c r="D639" s="17">
        <f>SUBTOTAL(9,D640:D644)</f>
        <v>619.11</v>
      </c>
      <c r="E639" s="13">
        <f t="shared" si="55"/>
        <v>-619.11</v>
      </c>
      <c r="F639" s="17"/>
      <c r="G639" s="17">
        <f>SUBTOTAL(9,G640:G644)</f>
        <v>619.11</v>
      </c>
      <c r="H639" s="178">
        <f t="shared" si="53"/>
        <v>-619.11</v>
      </c>
      <c r="I639" s="180">
        <v>0</v>
      </c>
      <c r="J639" s="180">
        <v>0</v>
      </c>
      <c r="K639" s="129"/>
    </row>
    <row r="640" spans="1:11" ht="40.5" customHeight="1">
      <c r="A640" s="32" t="s">
        <v>15</v>
      </c>
      <c r="B640" s="15" t="s">
        <v>161</v>
      </c>
      <c r="C640" s="15" t="s">
        <v>16</v>
      </c>
      <c r="D640" s="17"/>
      <c r="E640" s="13">
        <f t="shared" si="55"/>
        <v>0</v>
      </c>
      <c r="F640" s="17"/>
      <c r="G640" s="17"/>
      <c r="H640" s="178">
        <f t="shared" si="53"/>
        <v>0</v>
      </c>
      <c r="I640" s="180">
        <v>0</v>
      </c>
      <c r="J640" s="180">
        <v>0</v>
      </c>
      <c r="K640" s="181">
        <f>I640-J640</f>
        <v>0</v>
      </c>
    </row>
    <row r="641" spans="1:14" ht="30.75" customHeight="1">
      <c r="A641" s="28" t="s">
        <v>19</v>
      </c>
      <c r="B641" s="15" t="s">
        <v>161</v>
      </c>
      <c r="C641" s="4">
        <v>244</v>
      </c>
      <c r="D641" s="17">
        <f>57.36+91.7+49.93+58.4+284.74</f>
        <v>542.13</v>
      </c>
      <c r="E641" s="13">
        <f t="shared" si="55"/>
        <v>-542.13</v>
      </c>
      <c r="F641" s="17"/>
      <c r="G641" s="17">
        <f>57.36+91.7+49.93+58.4+284.74</f>
        <v>542.13</v>
      </c>
      <c r="H641" s="178">
        <f t="shared" si="53"/>
        <v>-542.13</v>
      </c>
      <c r="I641" s="180">
        <v>0</v>
      </c>
      <c r="J641" s="180">
        <v>0</v>
      </c>
      <c r="K641" s="181">
        <f>I641-J641</f>
        <v>0</v>
      </c>
    </row>
    <row r="642" spans="1:14" ht="28.5" customHeight="1">
      <c r="A642" s="28" t="s">
        <v>30</v>
      </c>
      <c r="B642" s="15" t="s">
        <v>161</v>
      </c>
      <c r="C642" s="4" t="s">
        <v>31</v>
      </c>
      <c r="D642" s="17">
        <v>50.58</v>
      </c>
      <c r="E642" s="13">
        <f t="shared" si="55"/>
        <v>-50.58</v>
      </c>
      <c r="F642" s="17"/>
      <c r="G642" s="17">
        <v>50.58</v>
      </c>
      <c r="H642" s="178">
        <f t="shared" si="53"/>
        <v>-50.58</v>
      </c>
      <c r="I642" s="180">
        <v>0</v>
      </c>
      <c r="J642" s="180">
        <v>0</v>
      </c>
      <c r="K642" s="181">
        <f>I642-J642</f>
        <v>0</v>
      </c>
    </row>
    <row r="643" spans="1:14" ht="28.5" customHeight="1">
      <c r="A643" s="28" t="s">
        <v>32</v>
      </c>
      <c r="B643" s="15" t="s">
        <v>161</v>
      </c>
      <c r="C643" s="4" t="s">
        <v>33</v>
      </c>
      <c r="D643" s="17">
        <v>2</v>
      </c>
      <c r="E643" s="13">
        <f t="shared" si="55"/>
        <v>-2</v>
      </c>
      <c r="F643" s="17"/>
      <c r="G643" s="17">
        <v>2</v>
      </c>
      <c r="H643" s="178">
        <f t="shared" si="53"/>
        <v>-2</v>
      </c>
      <c r="I643" s="180">
        <v>0</v>
      </c>
      <c r="J643" s="180">
        <v>0</v>
      </c>
      <c r="K643" s="181">
        <f>I643-J643</f>
        <v>0</v>
      </c>
    </row>
    <row r="644" spans="1:14" ht="21.75" customHeight="1">
      <c r="A644" s="28" t="s">
        <v>21</v>
      </c>
      <c r="B644" s="15" t="s">
        <v>161</v>
      </c>
      <c r="C644" s="4" t="s">
        <v>22</v>
      </c>
      <c r="D644" s="17">
        <f>0.4+24</f>
        <v>24.4</v>
      </c>
      <c r="E644" s="13">
        <f t="shared" si="55"/>
        <v>-24.4</v>
      </c>
      <c r="F644" s="17"/>
      <c r="G644" s="17">
        <f>0.4+24</f>
        <v>24.4</v>
      </c>
      <c r="H644" s="178">
        <f t="shared" si="53"/>
        <v>-24.4</v>
      </c>
      <c r="I644" s="180">
        <v>0</v>
      </c>
      <c r="J644" s="180">
        <v>0</v>
      </c>
      <c r="K644" s="181">
        <f>I644-J644</f>
        <v>0</v>
      </c>
    </row>
    <row r="645" spans="1:14" ht="30" customHeight="1">
      <c r="A645" s="14" t="s">
        <v>431</v>
      </c>
      <c r="B645" s="15" t="s">
        <v>432</v>
      </c>
      <c r="C645" s="4"/>
      <c r="D645" s="17">
        <f>D646</f>
        <v>547.79</v>
      </c>
      <c r="E645" s="13">
        <f t="shared" si="55"/>
        <v>-547.79</v>
      </c>
      <c r="F645" s="17"/>
      <c r="G645" s="17">
        <f>G646</f>
        <v>547.79</v>
      </c>
      <c r="H645" s="178">
        <f t="shared" si="53"/>
        <v>-547.79</v>
      </c>
      <c r="I645" s="180">
        <v>0</v>
      </c>
      <c r="J645" s="180">
        <v>0</v>
      </c>
      <c r="K645" s="129"/>
    </row>
    <row r="646" spans="1:14" ht="25.5" customHeight="1">
      <c r="A646" s="14" t="s">
        <v>19</v>
      </c>
      <c r="B646" s="15" t="s">
        <v>432</v>
      </c>
      <c r="C646" s="4" t="s">
        <v>20</v>
      </c>
      <c r="D646" s="17">
        <v>547.79</v>
      </c>
      <c r="E646" s="13">
        <f t="shared" ref="E646:E677" si="57">F646-D646</f>
        <v>-547.79</v>
      </c>
      <c r="F646" s="17"/>
      <c r="G646" s="17">
        <v>547.79</v>
      </c>
      <c r="H646" s="178">
        <f t="shared" si="53"/>
        <v>-547.79</v>
      </c>
      <c r="I646" s="180">
        <v>0</v>
      </c>
      <c r="J646" s="180">
        <v>0</v>
      </c>
      <c r="K646" s="181">
        <f>I646-J646</f>
        <v>0</v>
      </c>
    </row>
    <row r="647" spans="1:14" ht="25.5" customHeight="1">
      <c r="A647" s="28" t="s">
        <v>639</v>
      </c>
      <c r="B647" s="15" t="s">
        <v>643</v>
      </c>
      <c r="C647" s="4"/>
      <c r="D647" s="17"/>
      <c r="E647" s="13">
        <f t="shared" si="57"/>
        <v>222.32</v>
      </c>
      <c r="F647" s="17">
        <f>F648</f>
        <v>222.32</v>
      </c>
      <c r="G647" s="17"/>
      <c r="H647" s="178">
        <f t="shared" si="53"/>
        <v>0</v>
      </c>
      <c r="I647" s="17">
        <f>I648</f>
        <v>0</v>
      </c>
      <c r="J647" s="169">
        <f>J648</f>
        <v>0</v>
      </c>
      <c r="K647" s="129"/>
      <c r="L647" s="47"/>
      <c r="M647" s="47"/>
      <c r="N647" s="47"/>
    </row>
    <row r="648" spans="1:14" ht="25.5" customHeight="1">
      <c r="A648" s="28" t="s">
        <v>19</v>
      </c>
      <c r="B648" s="15" t="s">
        <v>643</v>
      </c>
      <c r="C648" s="4" t="s">
        <v>20</v>
      </c>
      <c r="D648" s="17"/>
      <c r="E648" s="13">
        <f t="shared" si="57"/>
        <v>222.32</v>
      </c>
      <c r="F648" s="17">
        <f>220.1+2.22</f>
        <v>222.32</v>
      </c>
      <c r="G648" s="17"/>
      <c r="H648" s="178">
        <f t="shared" si="53"/>
        <v>0</v>
      </c>
      <c r="I648" s="180">
        <v>0</v>
      </c>
      <c r="J648" s="180">
        <v>0</v>
      </c>
      <c r="K648" s="132" t="s">
        <v>524</v>
      </c>
      <c r="L648" s="1">
        <f>220.1/99</f>
        <v>2.223232323232323</v>
      </c>
      <c r="M648" s="1">
        <f>I648/99</f>
        <v>0</v>
      </c>
      <c r="N648" s="1">
        <f>J648/99</f>
        <v>0</v>
      </c>
    </row>
    <row r="649" spans="1:14" ht="25.5" customHeight="1">
      <c r="A649" s="28" t="s">
        <v>310</v>
      </c>
      <c r="B649" s="15" t="s">
        <v>416</v>
      </c>
      <c r="C649" s="11"/>
      <c r="D649" s="17">
        <f>D658</f>
        <v>0.4</v>
      </c>
      <c r="E649" s="13">
        <f t="shared" si="57"/>
        <v>-0.4</v>
      </c>
      <c r="F649" s="17"/>
      <c r="G649" s="17">
        <f>G658</f>
        <v>0.4</v>
      </c>
      <c r="H649" s="178">
        <f t="shared" si="53"/>
        <v>-0.4</v>
      </c>
      <c r="I649" s="180">
        <v>0</v>
      </c>
      <c r="J649" s="180">
        <v>0</v>
      </c>
      <c r="K649" s="129"/>
      <c r="L649" s="47"/>
      <c r="M649" s="47"/>
      <c r="N649" s="47"/>
    </row>
    <row r="650" spans="1:14" ht="27.75" customHeight="1">
      <c r="A650" s="28" t="s">
        <v>418</v>
      </c>
      <c r="B650" s="15" t="s">
        <v>417</v>
      </c>
      <c r="C650" s="11"/>
      <c r="D650" s="17">
        <f>D651</f>
        <v>2337.02</v>
      </c>
      <c r="E650" s="13">
        <f t="shared" si="57"/>
        <v>-2337.02</v>
      </c>
      <c r="F650" s="17"/>
      <c r="G650" s="17">
        <f>G651</f>
        <v>2337.02</v>
      </c>
      <c r="H650" s="178">
        <f t="shared" ref="H650:H713" si="58">I650-G650</f>
        <v>-2337.02</v>
      </c>
      <c r="I650" s="180">
        <v>0</v>
      </c>
      <c r="J650" s="180">
        <v>0</v>
      </c>
      <c r="K650" s="129"/>
      <c r="L650" s="47"/>
      <c r="M650" s="47"/>
      <c r="N650" s="47"/>
    </row>
    <row r="651" spans="1:14" ht="38.25" customHeight="1">
      <c r="A651" s="28" t="s">
        <v>152</v>
      </c>
      <c r="B651" s="15" t="s">
        <v>419</v>
      </c>
      <c r="C651" s="15"/>
      <c r="D651" s="17">
        <f>D652+D655</f>
        <v>2337.02</v>
      </c>
      <c r="E651" s="13">
        <f t="shared" si="57"/>
        <v>-2337.02</v>
      </c>
      <c r="F651" s="17"/>
      <c r="G651" s="17">
        <f>G652+G655</f>
        <v>2337.02</v>
      </c>
      <c r="H651" s="178">
        <f t="shared" si="58"/>
        <v>-2337.02</v>
      </c>
      <c r="I651" s="180">
        <v>0</v>
      </c>
      <c r="J651" s="180">
        <v>0</v>
      </c>
      <c r="K651" s="129"/>
    </row>
    <row r="652" spans="1:14" ht="25.5" customHeight="1">
      <c r="A652" s="28" t="s">
        <v>153</v>
      </c>
      <c r="B652" s="15" t="s">
        <v>420</v>
      </c>
      <c r="C652" s="4"/>
      <c r="D652" s="17">
        <f>SUBTOTAL(9,D653:D654)</f>
        <v>2250.62</v>
      </c>
      <c r="E652" s="13">
        <f t="shared" si="57"/>
        <v>-2250.62</v>
      </c>
      <c r="F652" s="17"/>
      <c r="G652" s="17">
        <f>SUBTOTAL(9,G653:G654)</f>
        <v>2250.62</v>
      </c>
      <c r="H652" s="178">
        <f t="shared" si="58"/>
        <v>-2250.62</v>
      </c>
      <c r="I652" s="180">
        <v>0</v>
      </c>
      <c r="J652" s="180">
        <v>0</v>
      </c>
      <c r="K652" s="129"/>
    </row>
    <row r="653" spans="1:14" ht="38.25" customHeight="1">
      <c r="A653" s="28" t="s">
        <v>104</v>
      </c>
      <c r="B653" s="15" t="s">
        <v>420</v>
      </c>
      <c r="C653" s="15" t="s">
        <v>42</v>
      </c>
      <c r="D653" s="17">
        <f>2074.21-345.6</f>
        <v>1728.6100000000001</v>
      </c>
      <c r="E653" s="13">
        <f t="shared" si="57"/>
        <v>-1728.6100000000001</v>
      </c>
      <c r="F653" s="17"/>
      <c r="G653" s="17">
        <f>2074.21-345.6</f>
        <v>1728.6100000000001</v>
      </c>
      <c r="H653" s="178">
        <f t="shared" si="58"/>
        <v>-1728.6100000000001</v>
      </c>
      <c r="I653" s="180">
        <v>0</v>
      </c>
      <c r="J653" s="180">
        <v>0</v>
      </c>
      <c r="K653" s="181">
        <f>I653-J653</f>
        <v>0</v>
      </c>
    </row>
    <row r="654" spans="1:14" ht="25.5" customHeight="1">
      <c r="A654" s="28" t="s">
        <v>43</v>
      </c>
      <c r="B654" s="15" t="s">
        <v>420</v>
      </c>
      <c r="C654" s="15" t="s">
        <v>44</v>
      </c>
      <c r="D654" s="17">
        <f>626.41-104.4</f>
        <v>522.01</v>
      </c>
      <c r="E654" s="13">
        <f t="shared" si="57"/>
        <v>-522.01</v>
      </c>
      <c r="F654" s="17"/>
      <c r="G654" s="17">
        <f>626.41-104.4</f>
        <v>522.01</v>
      </c>
      <c r="H654" s="178">
        <f t="shared" si="58"/>
        <v>-522.01</v>
      </c>
      <c r="I654" s="180">
        <v>0</v>
      </c>
      <c r="J654" s="180">
        <v>0</v>
      </c>
      <c r="K654" s="181">
        <f>I654-J654</f>
        <v>0</v>
      </c>
    </row>
    <row r="655" spans="1:14" ht="25.5" customHeight="1">
      <c r="A655" s="28" t="s">
        <v>154</v>
      </c>
      <c r="B655" s="15" t="s">
        <v>421</v>
      </c>
      <c r="C655" s="4"/>
      <c r="D655" s="17">
        <f>SUM(D656:D658)</f>
        <v>86.4</v>
      </c>
      <c r="E655" s="13">
        <f t="shared" si="57"/>
        <v>-86.4</v>
      </c>
      <c r="F655" s="17"/>
      <c r="G655" s="17">
        <f>SUM(G656:G658)</f>
        <v>86.4</v>
      </c>
      <c r="H655" s="178">
        <f t="shared" si="58"/>
        <v>-86.4</v>
      </c>
      <c r="I655" s="180">
        <v>0</v>
      </c>
      <c r="J655" s="180">
        <v>0</v>
      </c>
      <c r="K655" s="129"/>
    </row>
    <row r="656" spans="1:14" ht="16.5" customHeight="1">
      <c r="A656" s="28" t="s">
        <v>46</v>
      </c>
      <c r="B656" s="15" t="s">
        <v>421</v>
      </c>
      <c r="C656" s="15" t="s">
        <v>47</v>
      </c>
      <c r="D656" s="17"/>
      <c r="E656" s="13">
        <f t="shared" si="57"/>
        <v>0</v>
      </c>
      <c r="F656" s="17"/>
      <c r="G656" s="17"/>
      <c r="H656" s="178">
        <f t="shared" si="58"/>
        <v>0</v>
      </c>
      <c r="I656" s="180">
        <v>0</v>
      </c>
      <c r="J656" s="180">
        <v>0</v>
      </c>
      <c r="K656" s="181">
        <f>I656-J656</f>
        <v>0</v>
      </c>
    </row>
    <row r="657" spans="1:14" ht="17.25" customHeight="1">
      <c r="A657" s="28" t="s">
        <v>19</v>
      </c>
      <c r="B657" s="15" t="s">
        <v>421</v>
      </c>
      <c r="C657" s="4">
        <v>244</v>
      </c>
      <c r="D657" s="17">
        <f>23+27+36</f>
        <v>86</v>
      </c>
      <c r="E657" s="13">
        <f t="shared" si="57"/>
        <v>-86</v>
      </c>
      <c r="F657" s="17"/>
      <c r="G657" s="17">
        <f>23+27+36</f>
        <v>86</v>
      </c>
      <c r="H657" s="178">
        <f t="shared" si="58"/>
        <v>-86</v>
      </c>
      <c r="I657" s="180">
        <v>0</v>
      </c>
      <c r="J657" s="180">
        <v>0</v>
      </c>
      <c r="K657" s="181">
        <f>I657-J657</f>
        <v>0</v>
      </c>
    </row>
    <row r="658" spans="1:14" ht="17.25" customHeight="1">
      <c r="A658" s="28" t="s">
        <v>21</v>
      </c>
      <c r="B658" s="15" t="s">
        <v>421</v>
      </c>
      <c r="C658" s="4" t="s">
        <v>22</v>
      </c>
      <c r="D658" s="17">
        <v>0.4</v>
      </c>
      <c r="E658" s="13">
        <f t="shared" si="57"/>
        <v>-0.4</v>
      </c>
      <c r="F658" s="17"/>
      <c r="G658" s="17">
        <v>0.4</v>
      </c>
      <c r="H658" s="178">
        <f t="shared" si="58"/>
        <v>-0.4</v>
      </c>
      <c r="I658" s="180">
        <v>0</v>
      </c>
      <c r="J658" s="180">
        <v>0</v>
      </c>
      <c r="K658" s="181">
        <f>I658-J658</f>
        <v>0</v>
      </c>
    </row>
    <row r="659" spans="1:14" ht="27" hidden="1" customHeight="1">
      <c r="A659" s="28" t="s">
        <v>300</v>
      </c>
      <c r="B659" s="16" t="s">
        <v>302</v>
      </c>
      <c r="C659" s="4"/>
      <c r="D659" s="13">
        <f>D660</f>
        <v>0</v>
      </c>
      <c r="E659" s="13">
        <f t="shared" si="57"/>
        <v>0</v>
      </c>
      <c r="F659" s="13">
        <f t="shared" ref="F659:G661" si="59">F660</f>
        <v>0</v>
      </c>
      <c r="G659" s="13">
        <f t="shared" si="59"/>
        <v>0</v>
      </c>
      <c r="H659" s="178">
        <f t="shared" si="58"/>
        <v>0</v>
      </c>
      <c r="I659" s="13">
        <f t="shared" ref="I659:J661" si="60">I660</f>
        <v>0</v>
      </c>
      <c r="J659" s="168">
        <f t="shared" si="60"/>
        <v>0</v>
      </c>
    </row>
    <row r="660" spans="1:14" ht="27" hidden="1" customHeight="1">
      <c r="A660" s="28" t="s">
        <v>300</v>
      </c>
      <c r="B660" s="16" t="s">
        <v>302</v>
      </c>
      <c r="C660" s="15"/>
      <c r="D660" s="17">
        <f>D661</f>
        <v>0</v>
      </c>
      <c r="E660" s="13">
        <f t="shared" si="57"/>
        <v>0</v>
      </c>
      <c r="F660" s="17">
        <f t="shared" si="59"/>
        <v>0</v>
      </c>
      <c r="G660" s="17">
        <f t="shared" si="59"/>
        <v>0</v>
      </c>
      <c r="H660" s="178">
        <f t="shared" si="58"/>
        <v>0</v>
      </c>
      <c r="I660" s="17">
        <f t="shared" si="60"/>
        <v>0</v>
      </c>
      <c r="J660" s="169">
        <f t="shared" si="60"/>
        <v>0</v>
      </c>
    </row>
    <row r="661" spans="1:14" ht="18.75" hidden="1" customHeight="1">
      <c r="A661" s="28" t="s">
        <v>300</v>
      </c>
      <c r="B661" s="16" t="s">
        <v>302</v>
      </c>
      <c r="C661" s="15"/>
      <c r="D661" s="17">
        <f>D662</f>
        <v>0</v>
      </c>
      <c r="E661" s="13">
        <f t="shared" si="57"/>
        <v>0</v>
      </c>
      <c r="F661" s="17">
        <f t="shared" si="59"/>
        <v>0</v>
      </c>
      <c r="G661" s="17">
        <f t="shared" si="59"/>
        <v>0</v>
      </c>
      <c r="H661" s="178">
        <f t="shared" si="58"/>
        <v>0</v>
      </c>
      <c r="I661" s="17">
        <f t="shared" si="60"/>
        <v>0</v>
      </c>
      <c r="J661" s="169">
        <f t="shared" si="60"/>
        <v>0</v>
      </c>
      <c r="K661" s="129"/>
    </row>
    <row r="662" spans="1:14" ht="27" hidden="1" customHeight="1">
      <c r="A662" s="28" t="s">
        <v>300</v>
      </c>
      <c r="B662" s="16" t="s">
        <v>302</v>
      </c>
      <c r="C662" s="4"/>
      <c r="D662" s="17">
        <f>D663</f>
        <v>0</v>
      </c>
      <c r="E662" s="13">
        <f t="shared" si="57"/>
        <v>0</v>
      </c>
      <c r="F662" s="17">
        <f>F663+F670</f>
        <v>0</v>
      </c>
      <c r="G662" s="17">
        <f>G663</f>
        <v>0</v>
      </c>
      <c r="H662" s="178">
        <f t="shared" si="58"/>
        <v>0</v>
      </c>
      <c r="I662" s="17">
        <f>I663+I670</f>
        <v>0</v>
      </c>
      <c r="J662" s="169">
        <f>J663+J670</f>
        <v>0</v>
      </c>
      <c r="K662" s="129"/>
    </row>
    <row r="663" spans="1:14" ht="42" hidden="1" customHeight="1">
      <c r="A663" s="28" t="s">
        <v>300</v>
      </c>
      <c r="B663" s="15" t="s">
        <v>302</v>
      </c>
      <c r="C663" s="7"/>
      <c r="D663" s="17">
        <f>D665</f>
        <v>0</v>
      </c>
      <c r="E663" s="13">
        <f t="shared" si="57"/>
        <v>0</v>
      </c>
      <c r="F663" s="17">
        <f>F666+F674</f>
        <v>0</v>
      </c>
      <c r="G663" s="17">
        <f>G665</f>
        <v>0</v>
      </c>
      <c r="H663" s="178">
        <f t="shared" si="58"/>
        <v>0</v>
      </c>
      <c r="I663" s="17">
        <f>I666+I674</f>
        <v>0</v>
      </c>
      <c r="J663" s="169">
        <f>J666+J674</f>
        <v>0</v>
      </c>
      <c r="K663" s="129"/>
    </row>
    <row r="664" spans="1:14" ht="27" hidden="1" customHeight="1">
      <c r="A664" s="28" t="s">
        <v>300</v>
      </c>
      <c r="B664" s="15" t="s">
        <v>302</v>
      </c>
      <c r="C664" s="15"/>
      <c r="D664" s="17"/>
      <c r="E664" s="13">
        <f t="shared" si="57"/>
        <v>0</v>
      </c>
      <c r="F664" s="17">
        <f t="shared" ref="F664:F675" si="61">F665</f>
        <v>0</v>
      </c>
      <c r="G664" s="17"/>
      <c r="H664" s="178">
        <f t="shared" si="58"/>
        <v>0</v>
      </c>
      <c r="I664" s="17">
        <f t="shared" ref="I664:I675" si="62">I665</f>
        <v>0</v>
      </c>
      <c r="J664" s="169">
        <f t="shared" ref="J664:J675" si="63">J665</f>
        <v>0</v>
      </c>
      <c r="K664" s="129"/>
    </row>
    <row r="665" spans="1:14" ht="15" hidden="1" customHeight="1">
      <c r="A665" s="28" t="s">
        <v>300</v>
      </c>
      <c r="B665" s="15" t="s">
        <v>302</v>
      </c>
      <c r="C665" s="7"/>
      <c r="D665" s="17">
        <f t="shared" ref="D665:D670" si="64">D666</f>
        <v>0</v>
      </c>
      <c r="E665" s="13">
        <f t="shared" si="57"/>
        <v>0</v>
      </c>
      <c r="F665" s="17">
        <f t="shared" si="61"/>
        <v>0</v>
      </c>
      <c r="G665" s="17">
        <f t="shared" ref="G665:G670" si="65">G666</f>
        <v>0</v>
      </c>
      <c r="H665" s="178">
        <f t="shared" si="58"/>
        <v>0</v>
      </c>
      <c r="I665" s="17">
        <f t="shared" si="62"/>
        <v>0</v>
      </c>
      <c r="J665" s="169">
        <f t="shared" si="63"/>
        <v>0</v>
      </c>
      <c r="K665" s="129"/>
      <c r="L665" s="53"/>
      <c r="M665" s="53"/>
      <c r="N665" s="53"/>
    </row>
    <row r="666" spans="1:14" ht="15" hidden="1" customHeight="1">
      <c r="A666" s="28" t="s">
        <v>300</v>
      </c>
      <c r="B666" s="15" t="s">
        <v>302</v>
      </c>
      <c r="C666" s="7"/>
      <c r="D666" s="17">
        <f t="shared" si="64"/>
        <v>0</v>
      </c>
      <c r="E666" s="13">
        <f t="shared" si="57"/>
        <v>0</v>
      </c>
      <c r="F666" s="17">
        <f t="shared" si="61"/>
        <v>0</v>
      </c>
      <c r="G666" s="17">
        <f t="shared" si="65"/>
        <v>0</v>
      </c>
      <c r="H666" s="178">
        <f t="shared" si="58"/>
        <v>0</v>
      </c>
      <c r="I666" s="17">
        <f t="shared" si="62"/>
        <v>0</v>
      </c>
      <c r="J666" s="169">
        <f t="shared" si="63"/>
        <v>0</v>
      </c>
      <c r="K666" s="129"/>
    </row>
    <row r="667" spans="1:14" ht="25.5" hidden="1" customHeight="1">
      <c r="A667" s="28" t="s">
        <v>300</v>
      </c>
      <c r="B667" s="15" t="s">
        <v>302</v>
      </c>
      <c r="C667" s="7"/>
      <c r="D667" s="17">
        <f t="shared" si="64"/>
        <v>0</v>
      </c>
      <c r="E667" s="13">
        <f t="shared" si="57"/>
        <v>0</v>
      </c>
      <c r="F667" s="13">
        <f t="shared" si="61"/>
        <v>0</v>
      </c>
      <c r="G667" s="17">
        <f t="shared" si="65"/>
        <v>0</v>
      </c>
      <c r="H667" s="178">
        <f t="shared" si="58"/>
        <v>0</v>
      </c>
      <c r="I667" s="13">
        <f t="shared" si="62"/>
        <v>0</v>
      </c>
      <c r="J667" s="168">
        <f t="shared" si="63"/>
        <v>0</v>
      </c>
      <c r="K667" s="129"/>
    </row>
    <row r="668" spans="1:14" ht="25.5" hidden="1" customHeight="1">
      <c r="A668" s="28" t="s">
        <v>300</v>
      </c>
      <c r="B668" s="16" t="s">
        <v>302</v>
      </c>
      <c r="C668" s="4"/>
      <c r="D668" s="17">
        <f t="shared" si="64"/>
        <v>0</v>
      </c>
      <c r="E668" s="13">
        <f t="shared" si="57"/>
        <v>0</v>
      </c>
      <c r="F668" s="17">
        <f t="shared" si="61"/>
        <v>0</v>
      </c>
      <c r="G668" s="17">
        <f t="shared" si="65"/>
        <v>0</v>
      </c>
      <c r="H668" s="178">
        <f t="shared" si="58"/>
        <v>0</v>
      </c>
      <c r="I668" s="17">
        <f t="shared" si="62"/>
        <v>0</v>
      </c>
      <c r="J668" s="169">
        <f t="shared" si="63"/>
        <v>0</v>
      </c>
      <c r="K668" s="129"/>
    </row>
    <row r="669" spans="1:14" ht="13.5" hidden="1" customHeight="1">
      <c r="A669" s="28" t="s">
        <v>300</v>
      </c>
      <c r="B669" s="16" t="s">
        <v>302</v>
      </c>
      <c r="C669" s="4"/>
      <c r="D669" s="17">
        <f t="shared" si="64"/>
        <v>0</v>
      </c>
      <c r="E669" s="13">
        <f t="shared" si="57"/>
        <v>0</v>
      </c>
      <c r="F669" s="17">
        <f t="shared" si="61"/>
        <v>0</v>
      </c>
      <c r="G669" s="17">
        <f t="shared" si="65"/>
        <v>0</v>
      </c>
      <c r="H669" s="178">
        <f t="shared" si="58"/>
        <v>0</v>
      </c>
      <c r="I669" s="17">
        <f t="shared" si="62"/>
        <v>0</v>
      </c>
      <c r="J669" s="169">
        <f t="shared" si="63"/>
        <v>0</v>
      </c>
      <c r="K669" s="129"/>
    </row>
    <row r="670" spans="1:14" ht="41.25" hidden="1" customHeight="1">
      <c r="A670" s="28" t="s">
        <v>300</v>
      </c>
      <c r="B670" s="16" t="s">
        <v>302</v>
      </c>
      <c r="C670" s="4"/>
      <c r="D670" s="17">
        <f t="shared" si="64"/>
        <v>0</v>
      </c>
      <c r="E670" s="13">
        <f t="shared" si="57"/>
        <v>0</v>
      </c>
      <c r="F670" s="17">
        <f t="shared" si="61"/>
        <v>0</v>
      </c>
      <c r="G670" s="17">
        <f t="shared" si="65"/>
        <v>0</v>
      </c>
      <c r="H670" s="178">
        <f t="shared" si="58"/>
        <v>0</v>
      </c>
      <c r="I670" s="17">
        <f t="shared" si="62"/>
        <v>0</v>
      </c>
      <c r="J670" s="169">
        <f t="shared" si="63"/>
        <v>0</v>
      </c>
      <c r="K670" s="129"/>
    </row>
    <row r="671" spans="1:14" ht="25.5" hidden="1" customHeight="1">
      <c r="A671" s="28" t="s">
        <v>300</v>
      </c>
      <c r="B671" s="16" t="s">
        <v>302</v>
      </c>
      <c r="C671" s="15"/>
      <c r="D671" s="17"/>
      <c r="E671" s="13">
        <f t="shared" si="57"/>
        <v>0</v>
      </c>
      <c r="F671" s="17">
        <f t="shared" si="61"/>
        <v>0</v>
      </c>
      <c r="G671" s="17"/>
      <c r="H671" s="178">
        <f t="shared" si="58"/>
        <v>0</v>
      </c>
      <c r="I671" s="17">
        <f t="shared" si="62"/>
        <v>0</v>
      </c>
      <c r="J671" s="169">
        <f t="shared" si="63"/>
        <v>0</v>
      </c>
      <c r="K671" s="129"/>
    </row>
    <row r="672" spans="1:14" ht="25.5" hidden="1" customHeight="1">
      <c r="A672" s="28" t="s">
        <v>300</v>
      </c>
      <c r="B672" s="16" t="s">
        <v>302</v>
      </c>
      <c r="C672" s="15"/>
      <c r="D672" s="17"/>
      <c r="E672" s="13">
        <f t="shared" si="57"/>
        <v>0</v>
      </c>
      <c r="F672" s="17">
        <f t="shared" si="61"/>
        <v>0</v>
      </c>
      <c r="G672" s="17"/>
      <c r="H672" s="178">
        <f t="shared" si="58"/>
        <v>0</v>
      </c>
      <c r="I672" s="17">
        <f t="shared" si="62"/>
        <v>0</v>
      </c>
      <c r="J672" s="169">
        <f t="shared" si="63"/>
        <v>0</v>
      </c>
      <c r="K672" s="129"/>
    </row>
    <row r="673" spans="1:11" ht="25.5" hidden="1" customHeight="1">
      <c r="A673" s="28" t="s">
        <v>300</v>
      </c>
      <c r="B673" s="16" t="s">
        <v>302</v>
      </c>
      <c r="C673" s="15"/>
      <c r="D673" s="17">
        <f>D674</f>
        <v>0</v>
      </c>
      <c r="E673" s="13">
        <f t="shared" si="57"/>
        <v>0</v>
      </c>
      <c r="F673" s="17">
        <f t="shared" si="61"/>
        <v>0</v>
      </c>
      <c r="G673" s="17">
        <f>G674</f>
        <v>0</v>
      </c>
      <c r="H673" s="178">
        <f t="shared" si="58"/>
        <v>0</v>
      </c>
      <c r="I673" s="17">
        <f t="shared" si="62"/>
        <v>0</v>
      </c>
      <c r="J673" s="169">
        <f t="shared" si="63"/>
        <v>0</v>
      </c>
      <c r="K673" s="129"/>
    </row>
    <row r="674" spans="1:11" ht="15" hidden="1" customHeight="1">
      <c r="A674" s="28" t="s">
        <v>300</v>
      </c>
      <c r="B674" s="16" t="s">
        <v>302</v>
      </c>
      <c r="C674" s="7"/>
      <c r="D674" s="17">
        <f>D675</f>
        <v>0</v>
      </c>
      <c r="E674" s="13">
        <f t="shared" si="57"/>
        <v>0</v>
      </c>
      <c r="F674" s="17">
        <f t="shared" si="61"/>
        <v>0</v>
      </c>
      <c r="G674" s="17">
        <f>G675</f>
        <v>0</v>
      </c>
      <c r="H674" s="178">
        <f t="shared" si="58"/>
        <v>0</v>
      </c>
      <c r="I674" s="17">
        <f t="shared" si="62"/>
        <v>0</v>
      </c>
      <c r="J674" s="169">
        <f t="shared" si="63"/>
        <v>0</v>
      </c>
      <c r="K674" s="129"/>
    </row>
    <row r="675" spans="1:11" ht="38.25" hidden="1" customHeight="1">
      <c r="A675" s="28" t="s">
        <v>300</v>
      </c>
      <c r="B675" s="16" t="s">
        <v>302</v>
      </c>
      <c r="C675" s="15"/>
      <c r="D675" s="17"/>
      <c r="E675" s="13">
        <f t="shared" si="57"/>
        <v>0</v>
      </c>
      <c r="F675" s="17">
        <f t="shared" si="61"/>
        <v>0</v>
      </c>
      <c r="G675" s="17"/>
      <c r="H675" s="178">
        <f t="shared" si="58"/>
        <v>0</v>
      </c>
      <c r="I675" s="17">
        <f t="shared" si="62"/>
        <v>0</v>
      </c>
      <c r="J675" s="169">
        <f t="shared" si="63"/>
        <v>0</v>
      </c>
      <c r="K675" s="129"/>
    </row>
    <row r="676" spans="1:11" ht="17.25" hidden="1" customHeight="1">
      <c r="A676" s="28" t="s">
        <v>300</v>
      </c>
      <c r="B676" s="16" t="s">
        <v>302</v>
      </c>
      <c r="C676" s="15"/>
      <c r="D676" s="17">
        <f>D677</f>
        <v>0</v>
      </c>
      <c r="E676" s="13">
        <f t="shared" si="57"/>
        <v>0</v>
      </c>
      <c r="F676" s="17"/>
      <c r="G676" s="17">
        <f>G677</f>
        <v>0</v>
      </c>
      <c r="H676" s="178">
        <f t="shared" si="58"/>
        <v>0</v>
      </c>
      <c r="I676" s="180">
        <v>0</v>
      </c>
      <c r="J676" s="180">
        <v>0</v>
      </c>
      <c r="K676" s="129"/>
    </row>
    <row r="677" spans="1:11" ht="25.5" hidden="1" customHeight="1">
      <c r="A677" s="28" t="s">
        <v>300</v>
      </c>
      <c r="B677" s="16" t="s">
        <v>302</v>
      </c>
      <c r="C677" s="15"/>
      <c r="D677" s="17">
        <f>D678</f>
        <v>0</v>
      </c>
      <c r="E677" s="13">
        <f t="shared" si="57"/>
        <v>0</v>
      </c>
      <c r="F677" s="17">
        <f>F678</f>
        <v>0</v>
      </c>
      <c r="G677" s="17">
        <f>G678</f>
        <v>0</v>
      </c>
      <c r="H677" s="178">
        <f t="shared" si="58"/>
        <v>0</v>
      </c>
      <c r="I677" s="17">
        <f>I678</f>
        <v>0</v>
      </c>
      <c r="J677" s="169">
        <f>J678</f>
        <v>0</v>
      </c>
      <c r="K677" s="129"/>
    </row>
    <row r="678" spans="1:11" ht="38.25" hidden="1" customHeight="1">
      <c r="A678" s="28" t="s">
        <v>300</v>
      </c>
      <c r="B678" s="16" t="s">
        <v>302</v>
      </c>
      <c r="C678" s="15"/>
      <c r="D678" s="17">
        <f>D679</f>
        <v>0</v>
      </c>
      <c r="E678" s="13">
        <f t="shared" ref="E678:E709" si="66">F678-D678</f>
        <v>0</v>
      </c>
      <c r="F678" s="17">
        <f>F679</f>
        <v>0</v>
      </c>
      <c r="G678" s="17">
        <f>G679</f>
        <v>0</v>
      </c>
      <c r="H678" s="178">
        <f t="shared" si="58"/>
        <v>0</v>
      </c>
      <c r="I678" s="17">
        <f>I679</f>
        <v>0</v>
      </c>
      <c r="J678" s="169">
        <f>J679</f>
        <v>0</v>
      </c>
      <c r="K678" s="129"/>
    </row>
    <row r="679" spans="1:11" ht="25.5" hidden="1" customHeight="1">
      <c r="A679" s="28" t="s">
        <v>300</v>
      </c>
      <c r="B679" s="16" t="s">
        <v>302</v>
      </c>
      <c r="C679" s="15"/>
      <c r="D679" s="13">
        <f>D680</f>
        <v>0</v>
      </c>
      <c r="E679" s="13">
        <f t="shared" si="66"/>
        <v>0</v>
      </c>
      <c r="F679" s="13"/>
      <c r="G679" s="13">
        <f>G680</f>
        <v>0</v>
      </c>
      <c r="H679" s="178">
        <f t="shared" si="58"/>
        <v>0</v>
      </c>
      <c r="I679" s="180">
        <v>0</v>
      </c>
      <c r="J679" s="180">
        <v>0</v>
      </c>
      <c r="K679" s="129"/>
    </row>
    <row r="680" spans="1:11" ht="25.5" customHeight="1">
      <c r="A680" s="28" t="s">
        <v>300</v>
      </c>
      <c r="B680" s="16" t="s">
        <v>302</v>
      </c>
      <c r="C680" s="15"/>
      <c r="D680" s="17"/>
      <c r="E680" s="13">
        <f t="shared" si="66"/>
        <v>5219.07</v>
      </c>
      <c r="F680" s="17">
        <f>F681</f>
        <v>5219.07</v>
      </c>
      <c r="G680" s="17"/>
      <c r="H680" s="178">
        <f t="shared" si="58"/>
        <v>4760.42</v>
      </c>
      <c r="I680" s="17">
        <f t="shared" ref="I680:J682" si="67">I681</f>
        <v>4760.42</v>
      </c>
      <c r="J680" s="169">
        <f t="shared" si="67"/>
        <v>4760.42</v>
      </c>
    </row>
    <row r="681" spans="1:11" ht="15" customHeight="1">
      <c r="A681" s="28" t="s">
        <v>496</v>
      </c>
      <c r="B681" s="15" t="s">
        <v>623</v>
      </c>
      <c r="C681" s="15"/>
      <c r="D681" s="17">
        <f>D692+D695</f>
        <v>0</v>
      </c>
      <c r="E681" s="13">
        <f t="shared" si="66"/>
        <v>5219.07</v>
      </c>
      <c r="F681" s="17">
        <f>F682</f>
        <v>5219.07</v>
      </c>
      <c r="G681" s="17">
        <f>G692+G695</f>
        <v>0</v>
      </c>
      <c r="H681" s="178">
        <f t="shared" si="58"/>
        <v>4760.42</v>
      </c>
      <c r="I681" s="17">
        <f t="shared" si="67"/>
        <v>4760.42</v>
      </c>
      <c r="J681" s="169">
        <f t="shared" si="67"/>
        <v>4760.42</v>
      </c>
      <c r="K681" s="129"/>
    </row>
    <row r="682" spans="1:11" ht="25.5" customHeight="1">
      <c r="A682" s="28" t="s">
        <v>118</v>
      </c>
      <c r="B682" s="15" t="s">
        <v>624</v>
      </c>
      <c r="C682" s="15"/>
      <c r="D682" s="17"/>
      <c r="E682" s="13">
        <f t="shared" si="66"/>
        <v>5219.07</v>
      </c>
      <c r="F682" s="17">
        <f>F683</f>
        <v>5219.07</v>
      </c>
      <c r="G682" s="17"/>
      <c r="H682" s="178">
        <f t="shared" si="58"/>
        <v>4760.42</v>
      </c>
      <c r="I682" s="17">
        <f t="shared" si="67"/>
        <v>4760.42</v>
      </c>
      <c r="J682" s="169">
        <f t="shared" si="67"/>
        <v>4760.42</v>
      </c>
      <c r="K682" s="129"/>
    </row>
    <row r="683" spans="1:11" ht="25.5" customHeight="1">
      <c r="A683" s="28" t="s">
        <v>551</v>
      </c>
      <c r="B683" s="15" t="s">
        <v>625</v>
      </c>
      <c r="C683" s="15"/>
      <c r="D683" s="17"/>
      <c r="E683" s="13">
        <f t="shared" si="66"/>
        <v>5219.07</v>
      </c>
      <c r="F683" s="17">
        <f>SUM(F684:F688)</f>
        <v>5219.07</v>
      </c>
      <c r="G683" s="17"/>
      <c r="H683" s="178">
        <f t="shared" si="58"/>
        <v>4760.42</v>
      </c>
      <c r="I683" s="17">
        <f>SUM(I684:I688)</f>
        <v>4760.42</v>
      </c>
      <c r="J683" s="169">
        <f>SUM(J684:J688)</f>
        <v>4760.42</v>
      </c>
      <c r="K683" s="129"/>
    </row>
    <row r="684" spans="1:11" ht="15" customHeight="1">
      <c r="A684" s="28" t="s">
        <v>104</v>
      </c>
      <c r="B684" s="15" t="s">
        <v>625</v>
      </c>
      <c r="C684" s="15" t="s">
        <v>42</v>
      </c>
      <c r="D684" s="17"/>
      <c r="E684" s="13">
        <f t="shared" si="66"/>
        <v>3639.03</v>
      </c>
      <c r="F684" s="17">
        <f>3825.19-186.16</f>
        <v>3639.03</v>
      </c>
      <c r="G684" s="17"/>
      <c r="H684" s="178">
        <f t="shared" si="58"/>
        <v>3639.03</v>
      </c>
      <c r="I684" s="17">
        <f>3825.19-186.16</f>
        <v>3639.03</v>
      </c>
      <c r="J684" s="169">
        <f>3825.19-186.16</f>
        <v>3639.03</v>
      </c>
      <c r="K684" s="181">
        <f>I684-J684</f>
        <v>0</v>
      </c>
    </row>
    <row r="685" spans="1:11" ht="25.5" customHeight="1">
      <c r="A685" s="28" t="s">
        <v>46</v>
      </c>
      <c r="B685" s="15" t="s">
        <v>625</v>
      </c>
      <c r="C685" s="4" t="s">
        <v>47</v>
      </c>
      <c r="D685" s="17"/>
      <c r="E685" s="13">
        <f t="shared" si="66"/>
        <v>22.4</v>
      </c>
      <c r="F685" s="17">
        <v>22.4</v>
      </c>
      <c r="G685" s="17"/>
      <c r="H685" s="178">
        <f t="shared" si="58"/>
        <v>22.4</v>
      </c>
      <c r="I685" s="17">
        <v>22.4</v>
      </c>
      <c r="J685" s="169">
        <v>22.4</v>
      </c>
      <c r="K685" s="181">
        <f>I685-J685</f>
        <v>0</v>
      </c>
    </row>
    <row r="686" spans="1:11" ht="15" customHeight="1">
      <c r="A686" s="28" t="s">
        <v>43</v>
      </c>
      <c r="B686" s="15" t="s">
        <v>625</v>
      </c>
      <c r="C686" s="15" t="s">
        <v>44</v>
      </c>
      <c r="D686" s="17"/>
      <c r="E686" s="13">
        <f t="shared" si="66"/>
        <v>1098.99</v>
      </c>
      <c r="F686" s="17">
        <f>1155.21-56.22</f>
        <v>1098.99</v>
      </c>
      <c r="G686" s="17"/>
      <c r="H686" s="178">
        <f t="shared" si="58"/>
        <v>1098.99</v>
      </c>
      <c r="I686" s="17">
        <f>1155.21-56.22</f>
        <v>1098.99</v>
      </c>
      <c r="J686" s="169">
        <f>1155.21-56.22</f>
        <v>1098.99</v>
      </c>
      <c r="K686" s="181">
        <f>I686-J686</f>
        <v>0</v>
      </c>
    </row>
    <row r="687" spans="1:11" ht="26.25" customHeight="1">
      <c r="A687" s="28" t="s">
        <v>19</v>
      </c>
      <c r="B687" s="15" t="s">
        <v>625</v>
      </c>
      <c r="C687" s="15" t="s">
        <v>20</v>
      </c>
      <c r="D687" s="17"/>
      <c r="E687" s="13">
        <f t="shared" si="66"/>
        <v>458.64999999999952</v>
      </c>
      <c r="F687" s="17">
        <f>5461.45-3639.03-22.4-1098.99-186.16-56.22</f>
        <v>458.64999999999952</v>
      </c>
      <c r="G687" s="17"/>
      <c r="H687" s="178">
        <f t="shared" si="58"/>
        <v>0</v>
      </c>
      <c r="I687" s="179">
        <v>0</v>
      </c>
      <c r="J687" s="169"/>
      <c r="K687" s="181">
        <f>I687-J687</f>
        <v>0</v>
      </c>
    </row>
    <row r="688" spans="1:11" ht="26.25" customHeight="1">
      <c r="A688" s="28" t="s">
        <v>21</v>
      </c>
      <c r="B688" s="15" t="s">
        <v>625</v>
      </c>
      <c r="C688" s="15" t="s">
        <v>22</v>
      </c>
      <c r="D688" s="17"/>
      <c r="E688" s="13">
        <f t="shared" si="66"/>
        <v>0</v>
      </c>
      <c r="F688" s="17"/>
      <c r="G688" s="17"/>
      <c r="H688" s="178">
        <f t="shared" si="58"/>
        <v>0</v>
      </c>
      <c r="I688" s="180">
        <v>0</v>
      </c>
      <c r="J688" s="180">
        <v>0</v>
      </c>
      <c r="K688" s="181">
        <f>I688-J688</f>
        <v>0</v>
      </c>
    </row>
    <row r="689" spans="1:11" ht="40.5" customHeight="1">
      <c r="A689" s="161" t="s">
        <v>489</v>
      </c>
      <c r="B689" s="39" t="s">
        <v>622</v>
      </c>
      <c r="C689" s="4"/>
      <c r="D689" s="17"/>
      <c r="E689" s="13">
        <f t="shared" si="66"/>
        <v>1088.9000000000001</v>
      </c>
      <c r="F689" s="17">
        <f>F690+F691</f>
        <v>1088.9000000000001</v>
      </c>
      <c r="G689" s="17"/>
      <c r="H689" s="178">
        <f t="shared" si="58"/>
        <v>0</v>
      </c>
      <c r="I689" s="17">
        <f>I690+I691</f>
        <v>0</v>
      </c>
      <c r="J689" s="169">
        <f>J690+J691</f>
        <v>0</v>
      </c>
      <c r="K689" s="129"/>
    </row>
    <row r="690" spans="1:11" ht="30.75" customHeight="1">
      <c r="A690" s="28" t="s">
        <v>10</v>
      </c>
      <c r="B690" s="39" t="s">
        <v>622</v>
      </c>
      <c r="C690" s="4" t="s">
        <v>11</v>
      </c>
      <c r="D690" s="17"/>
      <c r="E690" s="13">
        <f t="shared" si="66"/>
        <v>836.33</v>
      </c>
      <c r="F690" s="17">
        <v>836.33</v>
      </c>
      <c r="G690" s="17"/>
      <c r="H690" s="178">
        <f t="shared" si="58"/>
        <v>0</v>
      </c>
      <c r="I690" s="180">
        <v>0</v>
      </c>
      <c r="J690" s="180">
        <v>0</v>
      </c>
      <c r="K690" s="129" t="s">
        <v>524</v>
      </c>
    </row>
    <row r="691" spans="1:11" ht="38.25" customHeight="1">
      <c r="A691" s="28" t="s">
        <v>12</v>
      </c>
      <c r="B691" s="39" t="s">
        <v>622</v>
      </c>
      <c r="C691" s="4" t="s">
        <v>13</v>
      </c>
      <c r="D691" s="17"/>
      <c r="E691" s="13">
        <f t="shared" si="66"/>
        <v>252.57</v>
      </c>
      <c r="F691" s="17">
        <v>252.57</v>
      </c>
      <c r="G691" s="17"/>
      <c r="H691" s="178">
        <f t="shared" si="58"/>
        <v>0</v>
      </c>
      <c r="I691" s="180">
        <v>0</v>
      </c>
      <c r="J691" s="180">
        <v>0</v>
      </c>
      <c r="K691" s="129" t="s">
        <v>524</v>
      </c>
    </row>
    <row r="692" spans="1:11" ht="15" customHeight="1">
      <c r="A692" s="30" t="s">
        <v>301</v>
      </c>
      <c r="B692" s="39" t="s">
        <v>303</v>
      </c>
      <c r="C692" s="4"/>
      <c r="D692" s="13">
        <f>D693</f>
        <v>0</v>
      </c>
      <c r="E692" s="13">
        <f t="shared" si="66"/>
        <v>0</v>
      </c>
      <c r="F692" s="13">
        <f t="shared" ref="F692:G695" si="68">F693</f>
        <v>0</v>
      </c>
      <c r="G692" s="13">
        <f t="shared" si="68"/>
        <v>0</v>
      </c>
      <c r="H692" s="178">
        <f t="shared" si="58"/>
        <v>0</v>
      </c>
      <c r="I692" s="13">
        <f t="shared" ref="I692:J695" si="69">I693</f>
        <v>0</v>
      </c>
      <c r="J692" s="168">
        <f t="shared" si="69"/>
        <v>0</v>
      </c>
    </row>
    <row r="693" spans="1:11" ht="38.25" hidden="1" customHeight="1">
      <c r="A693" s="30" t="s">
        <v>301</v>
      </c>
      <c r="B693" s="39" t="s">
        <v>303</v>
      </c>
      <c r="C693" s="15"/>
      <c r="D693" s="17">
        <f>D694</f>
        <v>0</v>
      </c>
      <c r="E693" s="13">
        <f t="shared" si="66"/>
        <v>0</v>
      </c>
      <c r="F693" s="17">
        <f t="shared" si="68"/>
        <v>0</v>
      </c>
      <c r="G693" s="17">
        <f t="shared" si="68"/>
        <v>0</v>
      </c>
      <c r="H693" s="178">
        <f t="shared" si="58"/>
        <v>0</v>
      </c>
      <c r="I693" s="17">
        <f t="shared" si="69"/>
        <v>0</v>
      </c>
      <c r="J693" s="169">
        <f t="shared" si="69"/>
        <v>0</v>
      </c>
    </row>
    <row r="694" spans="1:11" ht="38.25" hidden="1" customHeight="1">
      <c r="A694" s="30" t="s">
        <v>301</v>
      </c>
      <c r="B694" s="39" t="s">
        <v>303</v>
      </c>
      <c r="C694" s="15"/>
      <c r="D694" s="17">
        <f>D695</f>
        <v>0</v>
      </c>
      <c r="E694" s="13">
        <f t="shared" si="66"/>
        <v>0</v>
      </c>
      <c r="F694" s="17">
        <f t="shared" si="68"/>
        <v>0</v>
      </c>
      <c r="G694" s="17">
        <f t="shared" si="68"/>
        <v>0</v>
      </c>
      <c r="H694" s="178">
        <f t="shared" si="58"/>
        <v>0</v>
      </c>
      <c r="I694" s="17">
        <f t="shared" si="69"/>
        <v>0</v>
      </c>
      <c r="J694" s="169">
        <f t="shared" si="69"/>
        <v>0</v>
      </c>
      <c r="K694" s="129"/>
    </row>
    <row r="695" spans="1:11" ht="28.5" hidden="1" customHeight="1">
      <c r="A695" s="30" t="s">
        <v>301</v>
      </c>
      <c r="B695" s="39" t="s">
        <v>303</v>
      </c>
      <c r="C695" s="4"/>
      <c r="D695" s="17">
        <f>D696</f>
        <v>0</v>
      </c>
      <c r="E695" s="13">
        <f t="shared" si="66"/>
        <v>0</v>
      </c>
      <c r="F695" s="17">
        <f t="shared" si="68"/>
        <v>0</v>
      </c>
      <c r="G695" s="17">
        <f t="shared" si="68"/>
        <v>0</v>
      </c>
      <c r="H695" s="178">
        <f t="shared" si="58"/>
        <v>0</v>
      </c>
      <c r="I695" s="17">
        <f t="shared" si="69"/>
        <v>0</v>
      </c>
      <c r="J695" s="169">
        <f t="shared" si="69"/>
        <v>0</v>
      </c>
      <c r="K695" s="129"/>
    </row>
    <row r="696" spans="1:11" ht="28.5" hidden="1" customHeight="1">
      <c r="A696" s="30" t="s">
        <v>626</v>
      </c>
      <c r="B696" s="39" t="s">
        <v>303</v>
      </c>
      <c r="C696" s="15"/>
      <c r="D696" s="17"/>
      <c r="E696" s="13">
        <f t="shared" si="66"/>
        <v>0</v>
      </c>
      <c r="F696" s="17"/>
      <c r="G696" s="17"/>
      <c r="H696" s="178">
        <f t="shared" si="58"/>
        <v>0</v>
      </c>
      <c r="I696" s="180">
        <v>0</v>
      </c>
      <c r="J696" s="180">
        <v>0</v>
      </c>
      <c r="K696" s="129"/>
    </row>
    <row r="697" spans="1:11" ht="28.5" hidden="1" customHeight="1">
      <c r="A697" s="28" t="s">
        <v>301</v>
      </c>
      <c r="B697" s="15" t="s">
        <v>303</v>
      </c>
      <c r="C697" s="15"/>
      <c r="D697" s="17"/>
      <c r="E697" s="13">
        <f t="shared" si="66"/>
        <v>0</v>
      </c>
      <c r="F697" s="17">
        <f t="shared" ref="F697:F708" si="70">F698</f>
        <v>0</v>
      </c>
      <c r="G697" s="17"/>
      <c r="H697" s="178">
        <f t="shared" si="58"/>
        <v>0</v>
      </c>
      <c r="I697" s="17">
        <f t="shared" ref="I697:I708" si="71">I698</f>
        <v>0</v>
      </c>
      <c r="J697" s="169">
        <f t="shared" ref="J697:J708" si="72">J698</f>
        <v>0</v>
      </c>
      <c r="K697" s="129"/>
    </row>
    <row r="698" spans="1:11" ht="28.5" hidden="1" customHeight="1">
      <c r="A698" s="28" t="s">
        <v>301</v>
      </c>
      <c r="B698" s="15" t="s">
        <v>303</v>
      </c>
      <c r="C698" s="7"/>
      <c r="D698" s="17">
        <f t="shared" ref="D698:D703" si="73">D699</f>
        <v>0</v>
      </c>
      <c r="E698" s="13">
        <f t="shared" si="66"/>
        <v>0</v>
      </c>
      <c r="F698" s="17">
        <f t="shared" si="70"/>
        <v>0</v>
      </c>
      <c r="G698" s="17">
        <f t="shared" ref="G698:G703" si="74">G699</f>
        <v>0</v>
      </c>
      <c r="H698" s="178">
        <f t="shared" si="58"/>
        <v>0</v>
      </c>
      <c r="I698" s="17">
        <f t="shared" si="71"/>
        <v>0</v>
      </c>
      <c r="J698" s="169">
        <f t="shared" si="72"/>
        <v>0</v>
      </c>
      <c r="K698" s="129"/>
    </row>
    <row r="699" spans="1:11" ht="46.5" hidden="1" customHeight="1">
      <c r="A699" s="28" t="s">
        <v>301</v>
      </c>
      <c r="B699" s="15" t="s">
        <v>303</v>
      </c>
      <c r="C699" s="7"/>
      <c r="D699" s="17">
        <f t="shared" si="73"/>
        <v>0</v>
      </c>
      <c r="E699" s="13">
        <f t="shared" si="66"/>
        <v>0</v>
      </c>
      <c r="F699" s="17">
        <f t="shared" si="70"/>
        <v>0</v>
      </c>
      <c r="G699" s="17">
        <f t="shared" si="74"/>
        <v>0</v>
      </c>
      <c r="H699" s="178">
        <f t="shared" si="58"/>
        <v>0</v>
      </c>
      <c r="I699" s="17">
        <f t="shared" si="71"/>
        <v>0</v>
      </c>
      <c r="J699" s="169">
        <f t="shared" si="72"/>
        <v>0</v>
      </c>
      <c r="K699" s="129"/>
    </row>
    <row r="700" spans="1:11" ht="16.5" hidden="1" customHeight="1">
      <c r="A700" s="28" t="s">
        <v>301</v>
      </c>
      <c r="B700" s="15" t="s">
        <v>303</v>
      </c>
      <c r="C700" s="7"/>
      <c r="D700" s="17">
        <f t="shared" si="73"/>
        <v>0</v>
      </c>
      <c r="E700" s="13">
        <f t="shared" si="66"/>
        <v>0</v>
      </c>
      <c r="F700" s="13">
        <f t="shared" si="70"/>
        <v>0</v>
      </c>
      <c r="G700" s="17">
        <f t="shared" si="74"/>
        <v>0</v>
      </c>
      <c r="H700" s="178">
        <f t="shared" si="58"/>
        <v>0</v>
      </c>
      <c r="I700" s="13">
        <f t="shared" si="71"/>
        <v>0</v>
      </c>
      <c r="J700" s="168">
        <f t="shared" si="72"/>
        <v>0</v>
      </c>
      <c r="K700" s="129"/>
    </row>
    <row r="701" spans="1:11" ht="42" hidden="1" customHeight="1">
      <c r="A701" s="30" t="s">
        <v>301</v>
      </c>
      <c r="B701" s="39" t="s">
        <v>303</v>
      </c>
      <c r="C701" s="4"/>
      <c r="D701" s="17">
        <f t="shared" si="73"/>
        <v>0</v>
      </c>
      <c r="E701" s="13">
        <f t="shared" si="66"/>
        <v>0</v>
      </c>
      <c r="F701" s="17">
        <f t="shared" si="70"/>
        <v>0</v>
      </c>
      <c r="G701" s="17">
        <f t="shared" si="74"/>
        <v>0</v>
      </c>
      <c r="H701" s="178">
        <f t="shared" si="58"/>
        <v>0</v>
      </c>
      <c r="I701" s="17">
        <f t="shared" si="71"/>
        <v>0</v>
      </c>
      <c r="J701" s="169">
        <f t="shared" si="72"/>
        <v>0</v>
      </c>
      <c r="K701" s="129"/>
    </row>
    <row r="702" spans="1:11" ht="28.5" hidden="1" customHeight="1">
      <c r="A702" s="30" t="s">
        <v>301</v>
      </c>
      <c r="B702" s="39" t="s">
        <v>303</v>
      </c>
      <c r="C702" s="4"/>
      <c r="D702" s="17">
        <f t="shared" si="73"/>
        <v>0</v>
      </c>
      <c r="E702" s="13">
        <f t="shared" si="66"/>
        <v>0</v>
      </c>
      <c r="F702" s="17">
        <f t="shared" si="70"/>
        <v>0</v>
      </c>
      <c r="G702" s="17">
        <f t="shared" si="74"/>
        <v>0</v>
      </c>
      <c r="H702" s="178">
        <f t="shared" si="58"/>
        <v>0</v>
      </c>
      <c r="I702" s="17">
        <f t="shared" si="71"/>
        <v>0</v>
      </c>
      <c r="J702" s="169">
        <f t="shared" si="72"/>
        <v>0</v>
      </c>
      <c r="K702" s="129"/>
    </row>
    <row r="703" spans="1:11" ht="63.75" hidden="1" customHeight="1">
      <c r="A703" s="30" t="s">
        <v>301</v>
      </c>
      <c r="B703" s="39" t="s">
        <v>303</v>
      </c>
      <c r="C703" s="4"/>
      <c r="D703" s="17">
        <f t="shared" si="73"/>
        <v>0</v>
      </c>
      <c r="E703" s="13">
        <f t="shared" si="66"/>
        <v>0</v>
      </c>
      <c r="F703" s="17">
        <f t="shared" si="70"/>
        <v>0</v>
      </c>
      <c r="G703" s="17">
        <f t="shared" si="74"/>
        <v>0</v>
      </c>
      <c r="H703" s="178">
        <f t="shared" si="58"/>
        <v>0</v>
      </c>
      <c r="I703" s="17">
        <f t="shared" si="71"/>
        <v>0</v>
      </c>
      <c r="J703" s="169">
        <f t="shared" si="72"/>
        <v>0</v>
      </c>
      <c r="K703" s="129"/>
    </row>
    <row r="704" spans="1:11" ht="26.25" hidden="1" customHeight="1">
      <c r="A704" s="30" t="s">
        <v>301</v>
      </c>
      <c r="B704" s="39" t="s">
        <v>303</v>
      </c>
      <c r="C704" s="15"/>
      <c r="D704" s="17"/>
      <c r="E704" s="13">
        <f t="shared" si="66"/>
        <v>0</v>
      </c>
      <c r="F704" s="17">
        <f t="shared" si="70"/>
        <v>0</v>
      </c>
      <c r="G704" s="17"/>
      <c r="H704" s="178">
        <f t="shared" si="58"/>
        <v>0</v>
      </c>
      <c r="I704" s="17">
        <f t="shared" si="71"/>
        <v>0</v>
      </c>
      <c r="J704" s="169">
        <f t="shared" si="72"/>
        <v>0</v>
      </c>
      <c r="K704" s="129"/>
    </row>
    <row r="705" spans="1:11" ht="37.5" hidden="1" customHeight="1">
      <c r="A705" s="30" t="s">
        <v>301</v>
      </c>
      <c r="B705" s="39" t="s">
        <v>303</v>
      </c>
      <c r="C705" s="15"/>
      <c r="D705" s="17"/>
      <c r="E705" s="13">
        <f t="shared" si="66"/>
        <v>0</v>
      </c>
      <c r="F705" s="17">
        <f t="shared" si="70"/>
        <v>0</v>
      </c>
      <c r="G705" s="17"/>
      <c r="H705" s="178">
        <f t="shared" si="58"/>
        <v>0</v>
      </c>
      <c r="I705" s="17">
        <f t="shared" si="71"/>
        <v>0</v>
      </c>
      <c r="J705" s="169">
        <f t="shared" si="72"/>
        <v>0</v>
      </c>
      <c r="K705" s="129"/>
    </row>
    <row r="706" spans="1:11" ht="27" hidden="1" customHeight="1">
      <c r="A706" s="30" t="s">
        <v>301</v>
      </c>
      <c r="B706" s="39" t="s">
        <v>303</v>
      </c>
      <c r="C706" s="15"/>
      <c r="D706" s="17">
        <f>D707</f>
        <v>0</v>
      </c>
      <c r="E706" s="13">
        <f t="shared" si="66"/>
        <v>0</v>
      </c>
      <c r="F706" s="17">
        <f t="shared" si="70"/>
        <v>0</v>
      </c>
      <c r="G706" s="17">
        <f>G707</f>
        <v>0</v>
      </c>
      <c r="H706" s="178">
        <f t="shared" si="58"/>
        <v>0</v>
      </c>
      <c r="I706" s="17">
        <f t="shared" si="71"/>
        <v>0</v>
      </c>
      <c r="J706" s="169">
        <f t="shared" si="72"/>
        <v>0</v>
      </c>
      <c r="K706" s="129"/>
    </row>
    <row r="707" spans="1:11" ht="27" hidden="1" customHeight="1">
      <c r="A707" s="30" t="s">
        <v>565</v>
      </c>
      <c r="B707" s="39" t="s">
        <v>303</v>
      </c>
      <c r="C707" s="7"/>
      <c r="D707" s="17">
        <f>D708</f>
        <v>0</v>
      </c>
      <c r="E707" s="13">
        <f t="shared" si="66"/>
        <v>0</v>
      </c>
      <c r="F707" s="17">
        <f t="shared" si="70"/>
        <v>0</v>
      </c>
      <c r="G707" s="17">
        <f>G708</f>
        <v>0</v>
      </c>
      <c r="H707" s="178">
        <f t="shared" si="58"/>
        <v>0</v>
      </c>
      <c r="I707" s="17">
        <f t="shared" si="71"/>
        <v>0</v>
      </c>
      <c r="J707" s="169">
        <f t="shared" si="72"/>
        <v>0</v>
      </c>
      <c r="K707" s="129"/>
    </row>
    <row r="708" spans="1:11" ht="27" hidden="1" customHeight="1">
      <c r="A708" s="30" t="s">
        <v>301</v>
      </c>
      <c r="B708" s="39" t="s">
        <v>303</v>
      </c>
      <c r="C708" s="15"/>
      <c r="D708" s="17"/>
      <c r="E708" s="13">
        <f t="shared" si="66"/>
        <v>0</v>
      </c>
      <c r="F708" s="17">
        <f t="shared" si="70"/>
        <v>0</v>
      </c>
      <c r="G708" s="17"/>
      <c r="H708" s="178">
        <f t="shared" si="58"/>
        <v>0</v>
      </c>
      <c r="I708" s="17">
        <f t="shared" si="71"/>
        <v>0</v>
      </c>
      <c r="J708" s="169">
        <f t="shared" si="72"/>
        <v>0</v>
      </c>
      <c r="K708" s="129"/>
    </row>
    <row r="709" spans="1:11" ht="27" hidden="1" customHeight="1">
      <c r="A709" s="30" t="s">
        <v>301</v>
      </c>
      <c r="B709" s="39" t="s">
        <v>303</v>
      </c>
      <c r="C709" s="15"/>
      <c r="D709" s="17">
        <f>D710</f>
        <v>0</v>
      </c>
      <c r="E709" s="13">
        <f t="shared" si="66"/>
        <v>0</v>
      </c>
      <c r="F709" s="17"/>
      <c r="G709" s="17">
        <f>G710</f>
        <v>0</v>
      </c>
      <c r="H709" s="178">
        <f t="shared" si="58"/>
        <v>0</v>
      </c>
      <c r="I709" s="180">
        <v>0</v>
      </c>
      <c r="J709" s="180">
        <v>0</v>
      </c>
      <c r="K709" s="129"/>
    </row>
    <row r="710" spans="1:11" ht="45" hidden="1" customHeight="1">
      <c r="A710" s="30" t="s">
        <v>301</v>
      </c>
      <c r="B710" s="39" t="s">
        <v>303</v>
      </c>
      <c r="C710" s="15"/>
      <c r="D710" s="17">
        <f>D711</f>
        <v>0</v>
      </c>
      <c r="E710" s="13">
        <f t="shared" ref="E710:E741" si="75">F710-D710</f>
        <v>0</v>
      </c>
      <c r="F710" s="17">
        <f>F711</f>
        <v>0</v>
      </c>
      <c r="G710" s="17">
        <f>G711</f>
        <v>0</v>
      </c>
      <c r="H710" s="178">
        <f t="shared" si="58"/>
        <v>0</v>
      </c>
      <c r="I710" s="17">
        <f>I711</f>
        <v>0</v>
      </c>
      <c r="J710" s="169">
        <f>J711</f>
        <v>0</v>
      </c>
      <c r="K710" s="129"/>
    </row>
    <row r="711" spans="1:11" ht="17.25" hidden="1" customHeight="1">
      <c r="A711" s="30" t="s">
        <v>301</v>
      </c>
      <c r="B711" s="39" t="s">
        <v>303</v>
      </c>
      <c r="C711" s="15"/>
      <c r="D711" s="17">
        <f>D712</f>
        <v>0</v>
      </c>
      <c r="E711" s="13">
        <f t="shared" si="75"/>
        <v>0</v>
      </c>
      <c r="F711" s="17">
        <f>F712</f>
        <v>0</v>
      </c>
      <c r="G711" s="17">
        <f>G712</f>
        <v>0</v>
      </c>
      <c r="H711" s="178">
        <f t="shared" si="58"/>
        <v>0</v>
      </c>
      <c r="I711" s="17">
        <f>I712</f>
        <v>0</v>
      </c>
      <c r="J711" s="169">
        <f>J712</f>
        <v>0</v>
      </c>
      <c r="K711" s="129"/>
    </row>
    <row r="712" spans="1:11" ht="27" hidden="1" customHeight="1">
      <c r="A712" s="30" t="s">
        <v>301</v>
      </c>
      <c r="B712" s="39" t="s">
        <v>303</v>
      </c>
      <c r="C712" s="15"/>
      <c r="D712" s="13">
        <f>D713</f>
        <v>0</v>
      </c>
      <c r="E712" s="13">
        <f t="shared" si="75"/>
        <v>0</v>
      </c>
      <c r="F712" s="13"/>
      <c r="G712" s="13">
        <f>G713</f>
        <v>0</v>
      </c>
      <c r="H712" s="178">
        <f t="shared" si="58"/>
        <v>0</v>
      </c>
      <c r="I712" s="180">
        <v>0</v>
      </c>
      <c r="J712" s="180">
        <v>0</v>
      </c>
      <c r="K712" s="129"/>
    </row>
    <row r="713" spans="1:11" ht="27" hidden="1" customHeight="1">
      <c r="A713" s="30" t="s">
        <v>301</v>
      </c>
      <c r="B713" s="39" t="s">
        <v>303</v>
      </c>
      <c r="C713" s="15"/>
      <c r="D713" s="17"/>
      <c r="E713" s="13">
        <f t="shared" si="75"/>
        <v>3488.63</v>
      </c>
      <c r="F713" s="17">
        <f>F714</f>
        <v>3488.63</v>
      </c>
      <c r="G713" s="17"/>
      <c r="H713" s="178">
        <f t="shared" si="58"/>
        <v>0</v>
      </c>
      <c r="I713" s="17">
        <f t="shared" ref="I713:J715" si="76">I714</f>
        <v>0</v>
      </c>
      <c r="J713" s="169">
        <f t="shared" si="76"/>
        <v>0</v>
      </c>
    </row>
    <row r="714" spans="1:11" ht="42" customHeight="1">
      <c r="A714" s="28" t="s">
        <v>576</v>
      </c>
      <c r="B714" s="15" t="s">
        <v>599</v>
      </c>
      <c r="C714" s="15"/>
      <c r="D714" s="17"/>
      <c r="E714" s="13">
        <f t="shared" si="75"/>
        <v>3488.63</v>
      </c>
      <c r="F714" s="17">
        <f>F715</f>
        <v>3488.63</v>
      </c>
      <c r="G714" s="17"/>
      <c r="H714" s="178">
        <f t="shared" ref="H714:H777" si="77">I714-G714</f>
        <v>0</v>
      </c>
      <c r="I714" s="17">
        <f t="shared" si="76"/>
        <v>0</v>
      </c>
      <c r="J714" s="169">
        <f t="shared" si="76"/>
        <v>0</v>
      </c>
      <c r="K714" s="129"/>
    </row>
    <row r="715" spans="1:11" ht="38.25" customHeight="1">
      <c r="A715" s="166" t="s">
        <v>208</v>
      </c>
      <c r="B715" s="15" t="s">
        <v>600</v>
      </c>
      <c r="C715" s="15"/>
      <c r="D715" s="17"/>
      <c r="E715" s="13">
        <f t="shared" si="75"/>
        <v>3488.63</v>
      </c>
      <c r="F715" s="17">
        <f>F716</f>
        <v>3488.63</v>
      </c>
      <c r="G715" s="17"/>
      <c r="H715" s="178">
        <f t="shared" si="77"/>
        <v>0</v>
      </c>
      <c r="I715" s="17">
        <f t="shared" si="76"/>
        <v>0</v>
      </c>
      <c r="J715" s="169">
        <f t="shared" si="76"/>
        <v>0</v>
      </c>
      <c r="K715" s="129"/>
    </row>
    <row r="716" spans="1:11" ht="15" customHeight="1">
      <c r="A716" s="35" t="s">
        <v>208</v>
      </c>
      <c r="B716" s="15" t="s">
        <v>600</v>
      </c>
      <c r="C716" s="15" t="s">
        <v>209</v>
      </c>
      <c r="D716" s="17"/>
      <c r="E716" s="13">
        <f t="shared" si="75"/>
        <v>3488.63</v>
      </c>
      <c r="F716" s="17">
        <f>1104+1400+170.38+864.25-50</f>
        <v>3488.63</v>
      </c>
      <c r="G716" s="17"/>
      <c r="H716" s="178">
        <f t="shared" si="77"/>
        <v>0</v>
      </c>
      <c r="I716" s="179">
        <v>0</v>
      </c>
      <c r="J716" s="169"/>
      <c r="K716" s="181">
        <f>I716-J716</f>
        <v>0</v>
      </c>
    </row>
    <row r="717" spans="1:11" ht="51" customHeight="1">
      <c r="A717" s="14" t="s">
        <v>121</v>
      </c>
      <c r="B717" s="39" t="s">
        <v>352</v>
      </c>
      <c r="C717" s="4"/>
      <c r="D717" s="13">
        <f>D718</f>
        <v>0</v>
      </c>
      <c r="E717" s="13">
        <f t="shared" si="75"/>
        <v>0</v>
      </c>
      <c r="F717" s="13">
        <f t="shared" ref="F717:G720" si="78">F718</f>
        <v>0</v>
      </c>
      <c r="G717" s="13">
        <f t="shared" si="78"/>
        <v>0</v>
      </c>
      <c r="H717" s="178">
        <f t="shared" si="77"/>
        <v>0</v>
      </c>
      <c r="I717" s="13">
        <f t="shared" ref="I717:J721" si="79">I718</f>
        <v>0</v>
      </c>
      <c r="J717" s="168">
        <f t="shared" si="79"/>
        <v>0</v>
      </c>
    </row>
    <row r="718" spans="1:11" ht="25.5" hidden="1" customHeight="1">
      <c r="A718" s="14" t="s">
        <v>121</v>
      </c>
      <c r="B718" s="39" t="s">
        <v>352</v>
      </c>
      <c r="C718" s="15"/>
      <c r="D718" s="17">
        <f>D719</f>
        <v>0</v>
      </c>
      <c r="E718" s="13">
        <f t="shared" si="75"/>
        <v>0</v>
      </c>
      <c r="F718" s="17">
        <f t="shared" si="78"/>
        <v>0</v>
      </c>
      <c r="G718" s="17">
        <f t="shared" si="78"/>
        <v>0</v>
      </c>
      <c r="H718" s="178">
        <f t="shared" si="77"/>
        <v>0</v>
      </c>
      <c r="I718" s="17">
        <f t="shared" si="79"/>
        <v>0</v>
      </c>
      <c r="J718" s="169">
        <f t="shared" si="79"/>
        <v>0</v>
      </c>
    </row>
    <row r="719" spans="1:11" ht="25.5" hidden="1" customHeight="1">
      <c r="A719" s="14" t="s">
        <v>121</v>
      </c>
      <c r="B719" s="39" t="s">
        <v>352</v>
      </c>
      <c r="C719" s="15"/>
      <c r="D719" s="17">
        <f>D720</f>
        <v>0</v>
      </c>
      <c r="E719" s="13">
        <f t="shared" si="75"/>
        <v>0</v>
      </c>
      <c r="F719" s="17">
        <f t="shared" si="78"/>
        <v>0</v>
      </c>
      <c r="G719" s="17">
        <f t="shared" si="78"/>
        <v>0</v>
      </c>
      <c r="H719" s="178">
        <f t="shared" si="77"/>
        <v>0</v>
      </c>
      <c r="I719" s="17">
        <f t="shared" si="79"/>
        <v>0</v>
      </c>
      <c r="J719" s="169">
        <f t="shared" si="79"/>
        <v>0</v>
      </c>
      <c r="K719" s="129"/>
    </row>
    <row r="720" spans="1:11" ht="18.75" hidden="1" customHeight="1">
      <c r="A720" s="14" t="s">
        <v>121</v>
      </c>
      <c r="B720" s="39" t="s">
        <v>352</v>
      </c>
      <c r="C720" s="4"/>
      <c r="D720" s="17">
        <f>D721</f>
        <v>0</v>
      </c>
      <c r="E720" s="13">
        <f t="shared" si="75"/>
        <v>0</v>
      </c>
      <c r="F720" s="17">
        <f t="shared" si="78"/>
        <v>0</v>
      </c>
      <c r="G720" s="17">
        <f t="shared" si="78"/>
        <v>0</v>
      </c>
      <c r="H720" s="178">
        <f t="shared" si="77"/>
        <v>0</v>
      </c>
      <c r="I720" s="17">
        <f t="shared" si="79"/>
        <v>0</v>
      </c>
      <c r="J720" s="169">
        <f t="shared" si="79"/>
        <v>0</v>
      </c>
      <c r="K720" s="129"/>
    </row>
    <row r="721" spans="1:11" ht="27.75" hidden="1" customHeight="1">
      <c r="A721" s="28" t="s">
        <v>121</v>
      </c>
      <c r="B721" s="15" t="s">
        <v>352</v>
      </c>
      <c r="C721" s="15"/>
      <c r="D721" s="17">
        <f>D723</f>
        <v>0</v>
      </c>
      <c r="E721" s="13">
        <f t="shared" si="75"/>
        <v>0</v>
      </c>
      <c r="F721" s="17">
        <f>F722</f>
        <v>0</v>
      </c>
      <c r="G721" s="17">
        <f>G723</f>
        <v>0</v>
      </c>
      <c r="H721" s="178">
        <f t="shared" si="77"/>
        <v>0</v>
      </c>
      <c r="I721" s="17">
        <f t="shared" si="79"/>
        <v>0</v>
      </c>
      <c r="J721" s="169">
        <f t="shared" si="79"/>
        <v>0</v>
      </c>
      <c r="K721" s="129"/>
    </row>
    <row r="722" spans="1:11" ht="42.75" hidden="1" customHeight="1">
      <c r="A722" s="28" t="s">
        <v>121</v>
      </c>
      <c r="B722" s="15" t="s">
        <v>352</v>
      </c>
      <c r="C722" s="15"/>
      <c r="D722" s="17">
        <f>D724+D726</f>
        <v>0</v>
      </c>
      <c r="E722" s="13">
        <f t="shared" si="75"/>
        <v>0</v>
      </c>
      <c r="F722" s="17">
        <f>F723+F726</f>
        <v>0</v>
      </c>
      <c r="G722" s="17">
        <f>G724+G726</f>
        <v>0</v>
      </c>
      <c r="H722" s="178">
        <f t="shared" si="77"/>
        <v>0</v>
      </c>
      <c r="I722" s="17">
        <f>I723+I726</f>
        <v>0</v>
      </c>
      <c r="J722" s="169">
        <f>J723+J726</f>
        <v>0</v>
      </c>
      <c r="K722" s="129"/>
    </row>
    <row r="723" spans="1:11" ht="25.5" hidden="1" customHeight="1">
      <c r="A723" s="28" t="s">
        <v>121</v>
      </c>
      <c r="B723" s="15" t="s">
        <v>352</v>
      </c>
      <c r="C723" s="7"/>
      <c r="D723" s="17">
        <f>D725</f>
        <v>0</v>
      </c>
      <c r="E723" s="13">
        <f t="shared" si="75"/>
        <v>0</v>
      </c>
      <c r="F723" s="13">
        <f t="shared" ref="F723:F731" si="80">F724</f>
        <v>0</v>
      </c>
      <c r="G723" s="17">
        <f>G725</f>
        <v>0</v>
      </c>
      <c r="H723" s="178">
        <f t="shared" si="77"/>
        <v>0</v>
      </c>
      <c r="I723" s="13">
        <f t="shared" ref="I723:I731" si="81">I724</f>
        <v>0</v>
      </c>
      <c r="J723" s="168">
        <f t="shared" ref="J723:J731" si="82">J724</f>
        <v>0</v>
      </c>
      <c r="K723" s="129"/>
    </row>
    <row r="724" spans="1:11" ht="15.75" hidden="1" customHeight="1">
      <c r="A724" s="14" t="s">
        <v>121</v>
      </c>
      <c r="B724" s="39" t="s">
        <v>352</v>
      </c>
      <c r="C724" s="4"/>
      <c r="D724" s="17">
        <f>D725</f>
        <v>0</v>
      </c>
      <c r="E724" s="13">
        <f t="shared" si="75"/>
        <v>0</v>
      </c>
      <c r="F724" s="17">
        <f t="shared" si="80"/>
        <v>0</v>
      </c>
      <c r="G724" s="17">
        <f>G725</f>
        <v>0</v>
      </c>
      <c r="H724" s="178">
        <f t="shared" si="77"/>
        <v>0</v>
      </c>
      <c r="I724" s="17">
        <f t="shared" si="81"/>
        <v>0</v>
      </c>
      <c r="J724" s="169">
        <f t="shared" si="82"/>
        <v>0</v>
      </c>
      <c r="K724" s="129"/>
    </row>
    <row r="725" spans="1:11" ht="33.75" hidden="1" customHeight="1">
      <c r="A725" s="14" t="s">
        <v>121</v>
      </c>
      <c r="B725" s="39" t="s">
        <v>352</v>
      </c>
      <c r="C725" s="4"/>
      <c r="D725" s="17">
        <f>D726</f>
        <v>0</v>
      </c>
      <c r="E725" s="13">
        <f t="shared" si="75"/>
        <v>0</v>
      </c>
      <c r="F725" s="17">
        <f t="shared" si="80"/>
        <v>0</v>
      </c>
      <c r="G725" s="17">
        <f>G726</f>
        <v>0</v>
      </c>
      <c r="H725" s="178">
        <f t="shared" si="77"/>
        <v>0</v>
      </c>
      <c r="I725" s="17">
        <f t="shared" si="81"/>
        <v>0</v>
      </c>
      <c r="J725" s="169">
        <f t="shared" si="82"/>
        <v>0</v>
      </c>
      <c r="K725" s="129"/>
    </row>
    <row r="726" spans="1:11" ht="28.5" hidden="1" customHeight="1">
      <c r="A726" s="14" t="s">
        <v>121</v>
      </c>
      <c r="B726" s="39" t="s">
        <v>352</v>
      </c>
      <c r="C726" s="4"/>
      <c r="D726" s="17">
        <f>D727</f>
        <v>0</v>
      </c>
      <c r="E726" s="13">
        <f t="shared" si="75"/>
        <v>0</v>
      </c>
      <c r="F726" s="17">
        <f t="shared" si="80"/>
        <v>0</v>
      </c>
      <c r="G726" s="17">
        <f>G727</f>
        <v>0</v>
      </c>
      <c r="H726" s="178">
        <f t="shared" si="77"/>
        <v>0</v>
      </c>
      <c r="I726" s="17">
        <f t="shared" si="81"/>
        <v>0</v>
      </c>
      <c r="J726" s="169">
        <f t="shared" si="82"/>
        <v>0</v>
      </c>
      <c r="K726" s="129"/>
    </row>
    <row r="727" spans="1:11" ht="25.5" hidden="1" customHeight="1">
      <c r="A727" s="14" t="s">
        <v>121</v>
      </c>
      <c r="B727" s="39" t="s">
        <v>352</v>
      </c>
      <c r="C727" s="15"/>
      <c r="D727" s="17"/>
      <c r="E727" s="13">
        <f t="shared" si="75"/>
        <v>0</v>
      </c>
      <c r="F727" s="17">
        <f t="shared" si="80"/>
        <v>0</v>
      </c>
      <c r="G727" s="17"/>
      <c r="H727" s="178">
        <f t="shared" si="77"/>
        <v>0</v>
      </c>
      <c r="I727" s="17">
        <f t="shared" si="81"/>
        <v>0</v>
      </c>
      <c r="J727" s="169">
        <f t="shared" si="82"/>
        <v>0</v>
      </c>
      <c r="K727" s="129"/>
    </row>
    <row r="728" spans="1:11" ht="12.75" hidden="1" customHeight="1">
      <c r="A728" s="14" t="s">
        <v>121</v>
      </c>
      <c r="B728" s="39" t="s">
        <v>352</v>
      </c>
      <c r="C728" s="15"/>
      <c r="D728" s="17"/>
      <c r="E728" s="13">
        <f t="shared" si="75"/>
        <v>0</v>
      </c>
      <c r="F728" s="17">
        <f t="shared" si="80"/>
        <v>0</v>
      </c>
      <c r="G728" s="17"/>
      <c r="H728" s="178">
        <f t="shared" si="77"/>
        <v>0</v>
      </c>
      <c r="I728" s="17">
        <f t="shared" si="81"/>
        <v>0</v>
      </c>
      <c r="J728" s="169">
        <f t="shared" si="82"/>
        <v>0</v>
      </c>
      <c r="K728" s="129"/>
    </row>
    <row r="729" spans="1:11" ht="40.5" hidden="1" customHeight="1">
      <c r="A729" s="28" t="s">
        <v>121</v>
      </c>
      <c r="B729" s="15" t="s">
        <v>352</v>
      </c>
      <c r="C729" s="15"/>
      <c r="D729" s="17">
        <f>D730</f>
        <v>0</v>
      </c>
      <c r="E729" s="13">
        <f t="shared" si="75"/>
        <v>0</v>
      </c>
      <c r="F729" s="17">
        <f t="shared" si="80"/>
        <v>0</v>
      </c>
      <c r="G729" s="17">
        <f>G730</f>
        <v>0</v>
      </c>
      <c r="H729" s="178">
        <f t="shared" si="77"/>
        <v>0</v>
      </c>
      <c r="I729" s="17">
        <f t="shared" si="81"/>
        <v>0</v>
      </c>
      <c r="J729" s="169">
        <f t="shared" si="82"/>
        <v>0</v>
      </c>
      <c r="K729" s="129"/>
    </row>
    <row r="730" spans="1:11" ht="25.5" hidden="1" customHeight="1">
      <c r="A730" s="28" t="s">
        <v>121</v>
      </c>
      <c r="B730" s="15" t="s">
        <v>352</v>
      </c>
      <c r="C730" s="7"/>
      <c r="D730" s="17">
        <f>D734</f>
        <v>0</v>
      </c>
      <c r="E730" s="13">
        <f t="shared" si="75"/>
        <v>0</v>
      </c>
      <c r="F730" s="17">
        <f t="shared" si="80"/>
        <v>0</v>
      </c>
      <c r="G730" s="17">
        <f>G734</f>
        <v>0</v>
      </c>
      <c r="H730" s="178">
        <f t="shared" si="77"/>
        <v>0</v>
      </c>
      <c r="I730" s="17">
        <f t="shared" si="81"/>
        <v>0</v>
      </c>
      <c r="J730" s="169">
        <f t="shared" si="82"/>
        <v>0</v>
      </c>
      <c r="K730" s="129"/>
    </row>
    <row r="731" spans="1:11" ht="25.5" hidden="1" customHeight="1">
      <c r="A731" s="14" t="s">
        <v>121</v>
      </c>
      <c r="B731" s="39" t="s">
        <v>352</v>
      </c>
      <c r="C731" s="15"/>
      <c r="D731" s="17"/>
      <c r="E731" s="13">
        <f t="shared" si="75"/>
        <v>0</v>
      </c>
      <c r="F731" s="17">
        <f t="shared" si="80"/>
        <v>0</v>
      </c>
      <c r="G731" s="17"/>
      <c r="H731" s="178">
        <f t="shared" si="77"/>
        <v>0</v>
      </c>
      <c r="I731" s="17">
        <f t="shared" si="81"/>
        <v>0</v>
      </c>
      <c r="J731" s="169">
        <f t="shared" si="82"/>
        <v>0</v>
      </c>
      <c r="K731" s="129"/>
    </row>
    <row r="732" spans="1:11" ht="25.5" hidden="1" customHeight="1">
      <c r="A732" s="14" t="s">
        <v>121</v>
      </c>
      <c r="B732" s="39" t="s">
        <v>352</v>
      </c>
      <c r="C732" s="15"/>
      <c r="D732" s="17">
        <f>D733</f>
        <v>0</v>
      </c>
      <c r="E732" s="13">
        <f t="shared" si="75"/>
        <v>0</v>
      </c>
      <c r="F732" s="17"/>
      <c r="G732" s="17">
        <f>G733</f>
        <v>0</v>
      </c>
      <c r="H732" s="178">
        <f t="shared" si="77"/>
        <v>0</v>
      </c>
      <c r="I732" s="180">
        <v>0</v>
      </c>
      <c r="J732" s="180">
        <v>0</v>
      </c>
      <c r="K732" s="129"/>
    </row>
    <row r="733" spans="1:11" ht="15" hidden="1" customHeight="1">
      <c r="A733" s="14" t="s">
        <v>121</v>
      </c>
      <c r="B733" s="39" t="s">
        <v>352</v>
      </c>
      <c r="C733" s="15"/>
      <c r="D733" s="17">
        <f>D734</f>
        <v>0</v>
      </c>
      <c r="E733" s="13">
        <f t="shared" si="75"/>
        <v>0</v>
      </c>
      <c r="F733" s="17">
        <f>F734</f>
        <v>0</v>
      </c>
      <c r="G733" s="17">
        <f>G734</f>
        <v>0</v>
      </c>
      <c r="H733" s="178">
        <f t="shared" si="77"/>
        <v>0</v>
      </c>
      <c r="I733" s="17">
        <f>I734</f>
        <v>0</v>
      </c>
      <c r="J733" s="169">
        <f>J734</f>
        <v>0</v>
      </c>
      <c r="K733" s="129"/>
    </row>
    <row r="734" spans="1:11" ht="15" hidden="1" customHeight="1">
      <c r="A734" s="14" t="s">
        <v>121</v>
      </c>
      <c r="B734" s="39" t="s">
        <v>352</v>
      </c>
      <c r="C734" s="15"/>
      <c r="D734" s="17">
        <f>D735</f>
        <v>0</v>
      </c>
      <c r="E734" s="13">
        <f t="shared" si="75"/>
        <v>0</v>
      </c>
      <c r="F734" s="17">
        <f>F735</f>
        <v>0</v>
      </c>
      <c r="G734" s="17">
        <f>G735</f>
        <v>0</v>
      </c>
      <c r="H734" s="178">
        <f t="shared" si="77"/>
        <v>0</v>
      </c>
      <c r="I734" s="17">
        <f>I735</f>
        <v>0</v>
      </c>
      <c r="J734" s="169">
        <f>J735</f>
        <v>0</v>
      </c>
      <c r="K734" s="129"/>
    </row>
    <row r="735" spans="1:11" ht="25.5" hidden="1" customHeight="1">
      <c r="A735" s="14" t="s">
        <v>121</v>
      </c>
      <c r="B735" s="39" t="s">
        <v>352</v>
      </c>
      <c r="C735" s="15"/>
      <c r="D735" s="13">
        <f>D736</f>
        <v>0</v>
      </c>
      <c r="E735" s="13">
        <f t="shared" si="75"/>
        <v>0</v>
      </c>
      <c r="F735" s="13"/>
      <c r="G735" s="13">
        <f>G736</f>
        <v>0</v>
      </c>
      <c r="H735" s="178">
        <f t="shared" si="77"/>
        <v>0</v>
      </c>
      <c r="I735" s="180">
        <v>0</v>
      </c>
      <c r="J735" s="180">
        <v>0</v>
      </c>
      <c r="K735" s="129"/>
    </row>
    <row r="736" spans="1:11" ht="25.5" hidden="1" customHeight="1">
      <c r="A736" s="14" t="s">
        <v>121</v>
      </c>
      <c r="B736" s="39" t="s">
        <v>352</v>
      </c>
      <c r="C736" s="15"/>
      <c r="D736" s="17"/>
      <c r="E736" s="13">
        <f t="shared" si="75"/>
        <v>2000</v>
      </c>
      <c r="F736" s="17">
        <f>F737</f>
        <v>2000</v>
      </c>
      <c r="G736" s="17"/>
      <c r="H736" s="178">
        <f t="shared" si="77"/>
        <v>1000</v>
      </c>
      <c r="I736" s="17">
        <f t="shared" ref="I736:J738" si="83">I737</f>
        <v>1000</v>
      </c>
      <c r="J736" s="169">
        <f t="shared" si="83"/>
        <v>0</v>
      </c>
    </row>
    <row r="737" spans="1:14" ht="38.25" customHeight="1">
      <c r="A737" s="28" t="s">
        <v>576</v>
      </c>
      <c r="B737" s="15" t="s">
        <v>597</v>
      </c>
      <c r="C737" s="7"/>
      <c r="D737" s="17"/>
      <c r="E737" s="13">
        <f t="shared" si="75"/>
        <v>2000</v>
      </c>
      <c r="F737" s="17">
        <f>F738</f>
        <v>2000</v>
      </c>
      <c r="G737" s="17"/>
      <c r="H737" s="178">
        <f t="shared" si="77"/>
        <v>1000</v>
      </c>
      <c r="I737" s="17">
        <f t="shared" si="83"/>
        <v>1000</v>
      </c>
      <c r="J737" s="169">
        <f t="shared" si="83"/>
        <v>0</v>
      </c>
      <c r="K737" s="129"/>
    </row>
    <row r="738" spans="1:14" ht="25.5" customHeight="1">
      <c r="A738" s="28" t="s">
        <v>207</v>
      </c>
      <c r="B738" s="15" t="s">
        <v>598</v>
      </c>
      <c r="C738" s="7"/>
      <c r="D738" s="17"/>
      <c r="E738" s="13">
        <f t="shared" si="75"/>
        <v>2000</v>
      </c>
      <c r="F738" s="17">
        <f>F739</f>
        <v>2000</v>
      </c>
      <c r="G738" s="17"/>
      <c r="H738" s="178">
        <f t="shared" si="77"/>
        <v>1000</v>
      </c>
      <c r="I738" s="17">
        <f t="shared" si="83"/>
        <v>1000</v>
      </c>
      <c r="J738" s="169">
        <f t="shared" si="83"/>
        <v>0</v>
      </c>
      <c r="K738" s="129"/>
    </row>
    <row r="739" spans="1:14" ht="25.5" customHeight="1">
      <c r="A739" s="35" t="s">
        <v>208</v>
      </c>
      <c r="B739" s="15" t="s">
        <v>598</v>
      </c>
      <c r="C739" s="15" t="s">
        <v>209</v>
      </c>
      <c r="D739" s="17"/>
      <c r="E739" s="13">
        <f t="shared" si="75"/>
        <v>2000</v>
      </c>
      <c r="F739" s="17">
        <f>2000</f>
        <v>2000</v>
      </c>
      <c r="G739" s="17"/>
      <c r="H739" s="178">
        <f t="shared" si="77"/>
        <v>1000</v>
      </c>
      <c r="I739" s="17">
        <v>1000</v>
      </c>
      <c r="J739" s="169"/>
      <c r="K739" s="181">
        <f>I739-J739</f>
        <v>1000</v>
      </c>
    </row>
    <row r="740" spans="1:14" ht="38.25" customHeight="1">
      <c r="A740" s="28" t="s">
        <v>636</v>
      </c>
      <c r="B740" s="15" t="s">
        <v>634</v>
      </c>
      <c r="C740" s="15"/>
      <c r="D740" s="17"/>
      <c r="E740" s="13">
        <f t="shared" si="75"/>
        <v>39585.4</v>
      </c>
      <c r="F740" s="17">
        <f>F741</f>
        <v>39585.4</v>
      </c>
      <c r="G740" s="17"/>
      <c r="H740" s="178">
        <f t="shared" si="77"/>
        <v>0</v>
      </c>
      <c r="I740" s="17">
        <f t="shared" ref="I740:J744" si="84">I741</f>
        <v>0</v>
      </c>
      <c r="J740" s="169">
        <f t="shared" si="84"/>
        <v>0</v>
      </c>
      <c r="K740" s="129"/>
    </row>
    <row r="741" spans="1:14" ht="15.75" customHeight="1">
      <c r="A741" s="28" t="s">
        <v>636</v>
      </c>
      <c r="B741" s="15" t="s">
        <v>634</v>
      </c>
      <c r="C741" s="15"/>
      <c r="D741" s="17"/>
      <c r="E741" s="13">
        <f t="shared" si="75"/>
        <v>39585.4</v>
      </c>
      <c r="F741" s="17">
        <f>F742</f>
        <v>39585.4</v>
      </c>
      <c r="G741" s="17"/>
      <c r="H741" s="178">
        <f t="shared" si="77"/>
        <v>0</v>
      </c>
      <c r="I741" s="17">
        <f t="shared" si="84"/>
        <v>0</v>
      </c>
      <c r="J741" s="169">
        <f t="shared" si="84"/>
        <v>0</v>
      </c>
      <c r="K741" s="129"/>
    </row>
    <row r="742" spans="1:14" ht="36" hidden="1" customHeight="1">
      <c r="A742" s="28" t="s">
        <v>636</v>
      </c>
      <c r="B742" s="15" t="s">
        <v>634</v>
      </c>
      <c r="C742" s="7"/>
      <c r="D742" s="17"/>
      <c r="E742" s="13"/>
      <c r="F742" s="13">
        <f>F743</f>
        <v>39585.4</v>
      </c>
      <c r="G742" s="17"/>
      <c r="H742" s="178">
        <f t="shared" si="77"/>
        <v>0</v>
      </c>
      <c r="I742" s="13">
        <f t="shared" si="84"/>
        <v>0</v>
      </c>
      <c r="J742" s="168">
        <f t="shared" si="84"/>
        <v>0</v>
      </c>
      <c r="K742" s="129"/>
    </row>
    <row r="743" spans="1:14" s="47" customFormat="1" ht="38.25" customHeight="1">
      <c r="A743" s="28" t="s">
        <v>130</v>
      </c>
      <c r="B743" s="15" t="s">
        <v>635</v>
      </c>
      <c r="C743" s="15"/>
      <c r="D743" s="17">
        <f>D744</f>
        <v>37920</v>
      </c>
      <c r="E743" s="13">
        <f t="shared" ref="E743:E774" si="85">F743-D743</f>
        <v>1665.4000000000015</v>
      </c>
      <c r="F743" s="17">
        <f>F744</f>
        <v>39585.4</v>
      </c>
      <c r="G743" s="17">
        <f>G744</f>
        <v>37920</v>
      </c>
      <c r="H743" s="178">
        <f t="shared" si="77"/>
        <v>-37920</v>
      </c>
      <c r="I743" s="17">
        <f t="shared" si="84"/>
        <v>0</v>
      </c>
      <c r="J743" s="169">
        <f t="shared" si="84"/>
        <v>0</v>
      </c>
      <c r="K743" s="129"/>
      <c r="L743" s="1"/>
      <c r="M743" s="1"/>
      <c r="N743" s="1"/>
    </row>
    <row r="744" spans="1:14" s="47" customFormat="1" ht="15" customHeight="1">
      <c r="A744" s="28" t="s">
        <v>134</v>
      </c>
      <c r="B744" s="15" t="s">
        <v>638</v>
      </c>
      <c r="C744" s="15"/>
      <c r="D744" s="13">
        <f>D745</f>
        <v>37920</v>
      </c>
      <c r="E744" s="13">
        <f t="shared" si="85"/>
        <v>1665.4000000000015</v>
      </c>
      <c r="F744" s="13">
        <f>F745</f>
        <v>39585.4</v>
      </c>
      <c r="G744" s="13">
        <f>G745</f>
        <v>37920</v>
      </c>
      <c r="H744" s="178">
        <f t="shared" si="77"/>
        <v>-37920</v>
      </c>
      <c r="I744" s="13">
        <f t="shared" si="84"/>
        <v>0</v>
      </c>
      <c r="J744" s="168">
        <f t="shared" si="84"/>
        <v>0</v>
      </c>
      <c r="K744" s="129"/>
      <c r="L744" s="1"/>
      <c r="M744" s="1"/>
      <c r="N744" s="1"/>
    </row>
    <row r="745" spans="1:14" s="47" customFormat="1" ht="38.25" customHeight="1">
      <c r="A745" s="28" t="s">
        <v>135</v>
      </c>
      <c r="B745" s="15" t="s">
        <v>638</v>
      </c>
      <c r="C745" s="15" t="s">
        <v>136</v>
      </c>
      <c r="D745" s="17">
        <v>37920</v>
      </c>
      <c r="E745" s="13">
        <f t="shared" si="85"/>
        <v>1665.4000000000015</v>
      </c>
      <c r="F745" s="13">
        <f>40985.4-1400</f>
        <v>39585.4</v>
      </c>
      <c r="G745" s="17">
        <v>37920</v>
      </c>
      <c r="H745" s="178">
        <f t="shared" si="77"/>
        <v>-37920</v>
      </c>
      <c r="I745" s="179">
        <v>0</v>
      </c>
      <c r="J745" s="168"/>
      <c r="K745" s="181">
        <f>I745-J745</f>
        <v>0</v>
      </c>
      <c r="L745" s="1"/>
      <c r="M745" s="1"/>
      <c r="N745" s="1"/>
    </row>
    <row r="746" spans="1:14" s="47" customFormat="1" ht="22.5" customHeight="1">
      <c r="A746" s="28" t="s">
        <v>123</v>
      </c>
      <c r="B746" s="15" t="s">
        <v>637</v>
      </c>
      <c r="C746" s="15"/>
      <c r="D746" s="17">
        <f>D747</f>
        <v>50</v>
      </c>
      <c r="E746" s="13">
        <f t="shared" si="85"/>
        <v>0</v>
      </c>
      <c r="F746" s="17">
        <f>F747</f>
        <v>50</v>
      </c>
      <c r="G746" s="17">
        <f>G747</f>
        <v>50</v>
      </c>
      <c r="H746" s="178">
        <f t="shared" si="77"/>
        <v>0</v>
      </c>
      <c r="I746" s="17">
        <f>I747</f>
        <v>50</v>
      </c>
      <c r="J746" s="169">
        <f>J747</f>
        <v>50</v>
      </c>
      <c r="K746" s="129"/>
      <c r="L746" s="1"/>
      <c r="M746" s="1"/>
      <c r="N746" s="1"/>
    </row>
    <row r="747" spans="1:14" s="47" customFormat="1" ht="25.5" customHeight="1">
      <c r="A747" s="28" t="s">
        <v>124</v>
      </c>
      <c r="B747" s="15" t="s">
        <v>637</v>
      </c>
      <c r="C747" s="15" t="s">
        <v>125</v>
      </c>
      <c r="D747" s="17">
        <v>50</v>
      </c>
      <c r="E747" s="13">
        <f t="shared" si="85"/>
        <v>0</v>
      </c>
      <c r="F747" s="17">
        <v>50</v>
      </c>
      <c r="G747" s="17">
        <v>50</v>
      </c>
      <c r="H747" s="178">
        <f t="shared" si="77"/>
        <v>0</v>
      </c>
      <c r="I747" s="17">
        <v>50</v>
      </c>
      <c r="J747" s="169">
        <v>50</v>
      </c>
      <c r="K747" s="181">
        <f>I747-J747</f>
        <v>0</v>
      </c>
      <c r="L747" s="1"/>
      <c r="M747" s="1"/>
      <c r="N747" s="1"/>
    </row>
    <row r="748" spans="1:14" s="47" customFormat="1" ht="25.5" customHeight="1">
      <c r="A748" s="28" t="s">
        <v>207</v>
      </c>
      <c r="B748" s="15" t="s">
        <v>361</v>
      </c>
      <c r="C748" s="15"/>
      <c r="D748" s="17">
        <f>D749</f>
        <v>2000</v>
      </c>
      <c r="E748" s="13">
        <f t="shared" si="85"/>
        <v>-2000</v>
      </c>
      <c r="F748" s="17"/>
      <c r="G748" s="17">
        <f>G749</f>
        <v>2000</v>
      </c>
      <c r="H748" s="178">
        <f t="shared" si="77"/>
        <v>-2000</v>
      </c>
      <c r="I748" s="180">
        <v>0</v>
      </c>
      <c r="J748" s="180">
        <v>0</v>
      </c>
      <c r="K748" s="129"/>
      <c r="L748" s="1"/>
      <c r="M748" s="1"/>
      <c r="N748" s="1"/>
    </row>
    <row r="749" spans="1:14" s="47" customFormat="1" ht="18" customHeight="1">
      <c r="A749" s="35" t="s">
        <v>208</v>
      </c>
      <c r="B749" s="15" t="s">
        <v>361</v>
      </c>
      <c r="C749" s="15" t="s">
        <v>209</v>
      </c>
      <c r="D749" s="17">
        <v>2000</v>
      </c>
      <c r="E749" s="13">
        <f t="shared" si="85"/>
        <v>-2000</v>
      </c>
      <c r="F749" s="17"/>
      <c r="G749" s="17">
        <v>2000</v>
      </c>
      <c r="H749" s="178">
        <f t="shared" si="77"/>
        <v>-2000</v>
      </c>
      <c r="I749" s="180">
        <v>0</v>
      </c>
      <c r="J749" s="180">
        <v>0</v>
      </c>
      <c r="K749" s="181">
        <f>I749-J749</f>
        <v>0</v>
      </c>
      <c r="L749" s="1"/>
      <c r="M749" s="1"/>
      <c r="N749" s="1"/>
    </row>
    <row r="750" spans="1:14" s="47" customFormat="1" ht="25.5" customHeight="1">
      <c r="A750" s="28" t="s">
        <v>131</v>
      </c>
      <c r="B750" s="15" t="s">
        <v>447</v>
      </c>
      <c r="C750" s="15" t="s">
        <v>132</v>
      </c>
      <c r="D750" s="17">
        <v>47000</v>
      </c>
      <c r="E750" s="13">
        <f t="shared" si="85"/>
        <v>1410</v>
      </c>
      <c r="F750" s="17">
        <v>48410</v>
      </c>
      <c r="G750" s="17">
        <v>47000</v>
      </c>
      <c r="H750" s="178">
        <f t="shared" si="77"/>
        <v>1410</v>
      </c>
      <c r="I750" s="17">
        <v>48410</v>
      </c>
      <c r="J750" s="169">
        <v>48410</v>
      </c>
      <c r="K750" s="181">
        <f>I750-J750</f>
        <v>0</v>
      </c>
      <c r="L750" s="1"/>
      <c r="M750" s="1"/>
      <c r="N750" s="1"/>
    </row>
    <row r="751" spans="1:14" s="47" customFormat="1" ht="25.5" customHeight="1">
      <c r="A751" s="28" t="s">
        <v>133</v>
      </c>
      <c r="B751" s="15" t="s">
        <v>449</v>
      </c>
      <c r="C751" s="15"/>
      <c r="D751" s="17">
        <f>D752</f>
        <v>7900.9</v>
      </c>
      <c r="E751" s="13">
        <f t="shared" si="85"/>
        <v>126</v>
      </c>
      <c r="F751" s="17">
        <f>F752</f>
        <v>8026.9</v>
      </c>
      <c r="G751" s="17">
        <f>G752</f>
        <v>7900.9</v>
      </c>
      <c r="H751" s="178">
        <f t="shared" si="77"/>
        <v>126</v>
      </c>
      <c r="I751" s="17">
        <f>I752</f>
        <v>8026.9</v>
      </c>
      <c r="J751" s="169">
        <f>J752</f>
        <v>8026.9</v>
      </c>
      <c r="K751" s="129"/>
      <c r="L751" s="1"/>
      <c r="M751" s="1"/>
      <c r="N751" s="1"/>
    </row>
    <row r="752" spans="1:14" ht="25.5" customHeight="1">
      <c r="A752" s="28" t="s">
        <v>131</v>
      </c>
      <c r="B752" s="15" t="s">
        <v>449</v>
      </c>
      <c r="C752" s="15" t="s">
        <v>132</v>
      </c>
      <c r="D752" s="17">
        <v>7900.9</v>
      </c>
      <c r="E752" s="13">
        <f t="shared" si="85"/>
        <v>126</v>
      </c>
      <c r="F752" s="17">
        <v>8026.9</v>
      </c>
      <c r="G752" s="17">
        <v>7900.9</v>
      </c>
      <c r="H752" s="178">
        <f t="shared" si="77"/>
        <v>126</v>
      </c>
      <c r="I752" s="17">
        <v>8026.9</v>
      </c>
      <c r="J752" s="169">
        <v>8026.9</v>
      </c>
      <c r="K752" s="129" t="s">
        <v>523</v>
      </c>
    </row>
    <row r="753" spans="1:14" ht="25.5" customHeight="1">
      <c r="A753" s="28" t="s">
        <v>206</v>
      </c>
      <c r="B753" s="15" t="s">
        <v>360</v>
      </c>
      <c r="C753" s="15"/>
      <c r="D753" s="17">
        <f>D754</f>
        <v>12.6</v>
      </c>
      <c r="E753" s="13">
        <f t="shared" si="85"/>
        <v>-1.2999999999999989</v>
      </c>
      <c r="F753" s="17">
        <f>F754</f>
        <v>11.3</v>
      </c>
      <c r="G753" s="17">
        <f>G754</f>
        <v>101.1</v>
      </c>
      <c r="H753" s="178">
        <f t="shared" si="77"/>
        <v>-6.3999999999999915</v>
      </c>
      <c r="I753" s="17">
        <f>I754</f>
        <v>94.7</v>
      </c>
      <c r="J753" s="169">
        <f>J754</f>
        <v>4.5999999999999996</v>
      </c>
      <c r="K753" s="129"/>
    </row>
    <row r="754" spans="1:14" ht="25.5" customHeight="1">
      <c r="A754" s="28" t="s">
        <v>19</v>
      </c>
      <c r="B754" s="15" t="s">
        <v>360</v>
      </c>
      <c r="C754" s="15" t="s">
        <v>20</v>
      </c>
      <c r="D754" s="17">
        <v>12.6</v>
      </c>
      <c r="E754" s="13">
        <f t="shared" si="85"/>
        <v>-1.2999999999999989</v>
      </c>
      <c r="F754" s="17">
        <v>11.3</v>
      </c>
      <c r="G754" s="17">
        <v>101.1</v>
      </c>
      <c r="H754" s="178">
        <f t="shared" si="77"/>
        <v>-6.3999999999999915</v>
      </c>
      <c r="I754" s="17">
        <v>94.7</v>
      </c>
      <c r="J754" s="169">
        <v>4.5999999999999996</v>
      </c>
      <c r="K754" s="129" t="s">
        <v>523</v>
      </c>
    </row>
    <row r="755" spans="1:14" ht="17.25" customHeight="1">
      <c r="A755" s="14" t="s">
        <v>299</v>
      </c>
      <c r="B755" s="39" t="s">
        <v>353</v>
      </c>
      <c r="C755" s="4"/>
      <c r="D755" s="13">
        <f>D756+D757</f>
        <v>196</v>
      </c>
      <c r="E755" s="13">
        <f t="shared" si="85"/>
        <v>21.78</v>
      </c>
      <c r="F755" s="13">
        <f>F756+F757</f>
        <v>217.78</v>
      </c>
      <c r="G755" s="13">
        <f>G756+G757</f>
        <v>0</v>
      </c>
      <c r="H755" s="178">
        <f t="shared" si="77"/>
        <v>0</v>
      </c>
      <c r="I755" s="13">
        <f>I756+I757</f>
        <v>0</v>
      </c>
      <c r="J755" s="168">
        <f>J756+J757</f>
        <v>0</v>
      </c>
    </row>
    <row r="756" spans="1:14" ht="25.5" customHeight="1">
      <c r="A756" s="28" t="s">
        <v>41</v>
      </c>
      <c r="B756" s="39" t="s">
        <v>353</v>
      </c>
      <c r="C756" s="4" t="s">
        <v>42</v>
      </c>
      <c r="D756" s="13">
        <v>150.5</v>
      </c>
      <c r="E756" s="13">
        <f t="shared" si="85"/>
        <v>16.77000000000001</v>
      </c>
      <c r="F756" s="13">
        <v>167.27</v>
      </c>
      <c r="G756" s="13"/>
      <c r="H756" s="178">
        <f t="shared" si="77"/>
        <v>0</v>
      </c>
      <c r="I756" s="180">
        <v>0</v>
      </c>
      <c r="J756" s="180">
        <v>0</v>
      </c>
      <c r="K756" s="148" t="s">
        <v>524</v>
      </c>
    </row>
    <row r="757" spans="1:14" ht="38.25" customHeight="1">
      <c r="A757" s="28" t="s">
        <v>304</v>
      </c>
      <c r="B757" s="39" t="s">
        <v>353</v>
      </c>
      <c r="C757" s="15" t="s">
        <v>44</v>
      </c>
      <c r="D757" s="13">
        <v>45.5</v>
      </c>
      <c r="E757" s="13">
        <f t="shared" si="85"/>
        <v>5.009999999999998</v>
      </c>
      <c r="F757" s="13">
        <v>50.51</v>
      </c>
      <c r="G757" s="13"/>
      <c r="H757" s="178">
        <f t="shared" si="77"/>
        <v>0</v>
      </c>
      <c r="I757" s="180">
        <v>0</v>
      </c>
      <c r="J757" s="180">
        <v>0</v>
      </c>
      <c r="K757" s="148" t="s">
        <v>524</v>
      </c>
    </row>
    <row r="758" spans="1:14" ht="15" customHeight="1">
      <c r="A758" s="14" t="s">
        <v>299</v>
      </c>
      <c r="B758" s="39" t="s">
        <v>353</v>
      </c>
      <c r="C758" s="15"/>
      <c r="D758" s="17">
        <f>D759+D760</f>
        <v>10979.8</v>
      </c>
      <c r="E758" s="13">
        <f t="shared" si="85"/>
        <v>-1215.6599999999999</v>
      </c>
      <c r="F758" s="17">
        <f>F759+F760</f>
        <v>9764.14</v>
      </c>
      <c r="G758" s="17">
        <f>G759+G760</f>
        <v>0</v>
      </c>
      <c r="H758" s="178">
        <f t="shared" si="77"/>
        <v>0</v>
      </c>
      <c r="I758" s="17">
        <f>I759+I760</f>
        <v>0</v>
      </c>
      <c r="J758" s="169">
        <f>J759+J760</f>
        <v>0</v>
      </c>
    </row>
    <row r="759" spans="1:14" ht="38.25" customHeight="1">
      <c r="A759" s="49" t="s">
        <v>305</v>
      </c>
      <c r="B759" s="39" t="s">
        <v>353</v>
      </c>
      <c r="C759" s="15" t="s">
        <v>11</v>
      </c>
      <c r="D759" s="17">
        <v>8433</v>
      </c>
      <c r="E759" s="13">
        <f t="shared" si="85"/>
        <v>-933.65999999999985</v>
      </c>
      <c r="F759" s="17">
        <v>7499.34</v>
      </c>
      <c r="G759" s="17"/>
      <c r="H759" s="178">
        <f t="shared" si="77"/>
        <v>0</v>
      </c>
      <c r="I759" s="180">
        <v>0</v>
      </c>
      <c r="J759" s="180">
        <v>0</v>
      </c>
      <c r="K759" s="129" t="s">
        <v>524</v>
      </c>
      <c r="L759" s="50"/>
      <c r="M759" s="50"/>
      <c r="N759" s="50"/>
    </row>
    <row r="760" spans="1:14" ht="15.75" customHeight="1">
      <c r="A760" s="49" t="s">
        <v>12</v>
      </c>
      <c r="B760" s="39" t="s">
        <v>353</v>
      </c>
      <c r="C760" s="15" t="s">
        <v>13</v>
      </c>
      <c r="D760" s="17">
        <v>2546.8000000000002</v>
      </c>
      <c r="E760" s="13">
        <f t="shared" si="85"/>
        <v>-282</v>
      </c>
      <c r="F760" s="17">
        <v>2264.8000000000002</v>
      </c>
      <c r="G760" s="17"/>
      <c r="H760" s="178">
        <f t="shared" si="77"/>
        <v>0</v>
      </c>
      <c r="I760" s="180">
        <v>0</v>
      </c>
      <c r="J760" s="180">
        <v>0</v>
      </c>
      <c r="K760" s="129" t="s">
        <v>524</v>
      </c>
      <c r="L760" s="50"/>
      <c r="M760" s="50"/>
      <c r="N760" s="50"/>
    </row>
    <row r="761" spans="1:14" ht="24.75" customHeight="1">
      <c r="A761" s="14" t="s">
        <v>299</v>
      </c>
      <c r="B761" s="39" t="s">
        <v>353</v>
      </c>
      <c r="C761" s="15"/>
      <c r="D761" s="17">
        <f>D762+D763</f>
        <v>58934</v>
      </c>
      <c r="E761" s="13">
        <f t="shared" si="85"/>
        <v>-23684.149999999994</v>
      </c>
      <c r="F761" s="17">
        <f>F762+F763</f>
        <v>35249.850000000006</v>
      </c>
      <c r="G761" s="17">
        <f>G762+G763</f>
        <v>0</v>
      </c>
      <c r="H761" s="178">
        <f t="shared" si="77"/>
        <v>0</v>
      </c>
      <c r="I761" s="17">
        <f>I762+I763</f>
        <v>0</v>
      </c>
      <c r="J761" s="169">
        <f>J762+J763</f>
        <v>0</v>
      </c>
      <c r="K761" s="129"/>
    </row>
    <row r="762" spans="1:14" ht="25.5" customHeight="1">
      <c r="A762" s="49" t="s">
        <v>305</v>
      </c>
      <c r="B762" s="39" t="s">
        <v>353</v>
      </c>
      <c r="C762" s="15" t="s">
        <v>11</v>
      </c>
      <c r="D762" s="17">
        <v>45258</v>
      </c>
      <c r="E762" s="13">
        <f t="shared" si="85"/>
        <v>-18184.379999999997</v>
      </c>
      <c r="F762" s="17">
        <f>26454.97+618.65</f>
        <v>27073.620000000003</v>
      </c>
      <c r="G762" s="17"/>
      <c r="H762" s="178">
        <f t="shared" si="77"/>
        <v>0</v>
      </c>
      <c r="I762" s="180">
        <v>0</v>
      </c>
      <c r="J762" s="180">
        <v>0</v>
      </c>
      <c r="K762" s="129" t="s">
        <v>524</v>
      </c>
      <c r="L762" s="1">
        <f>79742.3/99</f>
        <v>805.47777777777776</v>
      </c>
    </row>
    <row r="763" spans="1:14" ht="25.5" customHeight="1">
      <c r="A763" s="49" t="s">
        <v>12</v>
      </c>
      <c r="B763" s="39" t="s">
        <v>353</v>
      </c>
      <c r="C763" s="15" t="s">
        <v>13</v>
      </c>
      <c r="D763" s="17">
        <v>13676</v>
      </c>
      <c r="E763" s="13">
        <f t="shared" si="85"/>
        <v>-5499.77</v>
      </c>
      <c r="F763" s="17">
        <f>7989.4+186.83</f>
        <v>8176.23</v>
      </c>
      <c r="G763" s="17"/>
      <c r="H763" s="178">
        <f t="shared" si="77"/>
        <v>0</v>
      </c>
      <c r="I763" s="180">
        <v>0</v>
      </c>
      <c r="J763" s="180">
        <v>0</v>
      </c>
      <c r="K763" s="129" t="s">
        <v>524</v>
      </c>
    </row>
    <row r="764" spans="1:14" ht="57.75" customHeight="1">
      <c r="A764" s="14" t="s">
        <v>299</v>
      </c>
      <c r="B764" s="39" t="s">
        <v>353</v>
      </c>
      <c r="C764" s="4"/>
      <c r="D764" s="17">
        <f>SUBTOTAL(9,D765:D768)</f>
        <v>980</v>
      </c>
      <c r="E764" s="13">
        <f t="shared" si="85"/>
        <v>1415.5900000000001</v>
      </c>
      <c r="F764" s="17">
        <f>F765+F766</f>
        <v>2395.59</v>
      </c>
      <c r="G764" s="17">
        <f>SUBTOTAL(9,G765:G768)</f>
        <v>0</v>
      </c>
      <c r="H764" s="178">
        <f t="shared" si="77"/>
        <v>0</v>
      </c>
      <c r="I764" s="17">
        <f>I765+I766</f>
        <v>0</v>
      </c>
      <c r="J764" s="169">
        <f>J765+J766</f>
        <v>0</v>
      </c>
      <c r="K764" s="129"/>
    </row>
    <row r="765" spans="1:14" ht="27.75" customHeight="1">
      <c r="A765" s="28" t="s">
        <v>104</v>
      </c>
      <c r="B765" s="39" t="s">
        <v>353</v>
      </c>
      <c r="C765" s="4" t="s">
        <v>42</v>
      </c>
      <c r="D765" s="17">
        <v>322.60000000000002</v>
      </c>
      <c r="E765" s="13">
        <f t="shared" si="85"/>
        <v>1517.33</v>
      </c>
      <c r="F765" s="17">
        <v>1839.93</v>
      </c>
      <c r="G765" s="17"/>
      <c r="H765" s="178">
        <f t="shared" si="77"/>
        <v>0</v>
      </c>
      <c r="I765" s="180">
        <v>0</v>
      </c>
      <c r="J765" s="180">
        <v>0</v>
      </c>
      <c r="K765" s="129" t="s">
        <v>524</v>
      </c>
    </row>
    <row r="766" spans="1:14" ht="40.5" customHeight="1">
      <c r="A766" s="28" t="s">
        <v>276</v>
      </c>
      <c r="B766" s="39" t="s">
        <v>353</v>
      </c>
      <c r="C766" s="4" t="s">
        <v>44</v>
      </c>
      <c r="D766" s="17">
        <v>430</v>
      </c>
      <c r="E766" s="13">
        <f t="shared" si="85"/>
        <v>125.65999999999997</v>
      </c>
      <c r="F766" s="17">
        <v>555.66</v>
      </c>
      <c r="G766" s="17"/>
      <c r="H766" s="178">
        <f t="shared" si="77"/>
        <v>0</v>
      </c>
      <c r="I766" s="180">
        <v>0</v>
      </c>
      <c r="J766" s="180">
        <v>0</v>
      </c>
      <c r="K766" s="129" t="s">
        <v>524</v>
      </c>
    </row>
    <row r="767" spans="1:14" ht="25.5" customHeight="1">
      <c r="A767" s="28" t="s">
        <v>12</v>
      </c>
      <c r="B767" s="39" t="s">
        <v>353</v>
      </c>
      <c r="C767" s="4" t="s">
        <v>13</v>
      </c>
      <c r="D767" s="17">
        <v>97.4</v>
      </c>
      <c r="E767" s="13">
        <f t="shared" si="85"/>
        <v>-97.4</v>
      </c>
      <c r="F767" s="17"/>
      <c r="G767" s="17"/>
      <c r="H767" s="178">
        <f t="shared" si="77"/>
        <v>0</v>
      </c>
      <c r="I767" s="180">
        <v>0</v>
      </c>
      <c r="J767" s="180">
        <v>0</v>
      </c>
      <c r="K767" s="181">
        <f>I767-J767</f>
        <v>0</v>
      </c>
    </row>
    <row r="768" spans="1:14" ht="26.25" customHeight="1">
      <c r="A768" s="28" t="s">
        <v>276</v>
      </c>
      <c r="B768" s="39" t="s">
        <v>353</v>
      </c>
      <c r="C768" s="4" t="s">
        <v>44</v>
      </c>
      <c r="D768" s="17">
        <v>130</v>
      </c>
      <c r="E768" s="13">
        <f t="shared" si="85"/>
        <v>-130</v>
      </c>
      <c r="F768" s="17"/>
      <c r="G768" s="17"/>
      <c r="H768" s="178">
        <f t="shared" si="77"/>
        <v>0</v>
      </c>
      <c r="I768" s="180">
        <v>0</v>
      </c>
      <c r="J768" s="180">
        <v>0</v>
      </c>
      <c r="K768" s="181">
        <f>I768-J768</f>
        <v>0</v>
      </c>
    </row>
    <row r="769" spans="1:11" ht="32.25" customHeight="1">
      <c r="A769" s="14" t="s">
        <v>299</v>
      </c>
      <c r="B769" s="39" t="s">
        <v>353</v>
      </c>
      <c r="C769" s="15"/>
      <c r="D769" s="17"/>
      <c r="E769" s="13">
        <f t="shared" si="85"/>
        <v>242.38</v>
      </c>
      <c r="F769" s="17">
        <f>F770+F771</f>
        <v>242.38</v>
      </c>
      <c r="G769" s="17"/>
      <c r="H769" s="178">
        <f t="shared" si="77"/>
        <v>0</v>
      </c>
      <c r="I769" s="17">
        <f>I770+I771</f>
        <v>0</v>
      </c>
      <c r="J769" s="169">
        <f>J770+J771</f>
        <v>0</v>
      </c>
      <c r="K769" s="129"/>
    </row>
    <row r="770" spans="1:11" ht="25.5" customHeight="1">
      <c r="A770" s="28" t="s">
        <v>104</v>
      </c>
      <c r="B770" s="39" t="s">
        <v>353</v>
      </c>
      <c r="C770" s="15" t="s">
        <v>42</v>
      </c>
      <c r="D770" s="17"/>
      <c r="E770" s="13">
        <f t="shared" si="85"/>
        <v>186.16</v>
      </c>
      <c r="F770" s="17">
        <v>186.16</v>
      </c>
      <c r="G770" s="17"/>
      <c r="H770" s="178">
        <f t="shared" si="77"/>
        <v>0</v>
      </c>
      <c r="I770" s="180">
        <v>0</v>
      </c>
      <c r="J770" s="180">
        <v>0</v>
      </c>
      <c r="K770" s="132" t="s">
        <v>524</v>
      </c>
    </row>
    <row r="771" spans="1:11" ht="25.5" customHeight="1">
      <c r="A771" s="28" t="s">
        <v>43</v>
      </c>
      <c r="B771" s="39" t="s">
        <v>353</v>
      </c>
      <c r="C771" s="15" t="s">
        <v>44</v>
      </c>
      <c r="D771" s="17"/>
      <c r="E771" s="13">
        <f t="shared" si="85"/>
        <v>56.22</v>
      </c>
      <c r="F771" s="17">
        <v>56.22</v>
      </c>
      <c r="G771" s="17"/>
      <c r="H771" s="178">
        <f t="shared" si="77"/>
        <v>0</v>
      </c>
      <c r="I771" s="180">
        <v>0</v>
      </c>
      <c r="J771" s="180">
        <v>0</v>
      </c>
      <c r="K771" s="132" t="s">
        <v>524</v>
      </c>
    </row>
    <row r="772" spans="1:11" ht="17.25" customHeight="1">
      <c r="A772" s="14" t="s">
        <v>299</v>
      </c>
      <c r="B772" s="39" t="s">
        <v>353</v>
      </c>
      <c r="C772" s="4"/>
      <c r="D772" s="17">
        <f>D773+D774</f>
        <v>0</v>
      </c>
      <c r="E772" s="13">
        <f t="shared" si="85"/>
        <v>8939.91</v>
      </c>
      <c r="F772" s="17">
        <f>F773+F774</f>
        <v>8939.91</v>
      </c>
      <c r="G772" s="17">
        <f>G773+G774</f>
        <v>0</v>
      </c>
      <c r="H772" s="178">
        <f t="shared" si="77"/>
        <v>0</v>
      </c>
      <c r="I772" s="17">
        <f>I773+I774</f>
        <v>0</v>
      </c>
      <c r="J772" s="169">
        <f>J773+J774</f>
        <v>0</v>
      </c>
      <c r="K772" s="129"/>
    </row>
    <row r="773" spans="1:11" ht="39.75" customHeight="1">
      <c r="A773" s="28" t="s">
        <v>10</v>
      </c>
      <c r="B773" s="39" t="s">
        <v>353</v>
      </c>
      <c r="C773" s="4" t="s">
        <v>11</v>
      </c>
      <c r="D773" s="17"/>
      <c r="E773" s="13">
        <f t="shared" si="85"/>
        <v>6866.29</v>
      </c>
      <c r="F773" s="17">
        <v>6866.29</v>
      </c>
      <c r="G773" s="17"/>
      <c r="H773" s="178">
        <f t="shared" si="77"/>
        <v>0</v>
      </c>
      <c r="I773" s="180">
        <v>0</v>
      </c>
      <c r="J773" s="180">
        <v>0</v>
      </c>
      <c r="K773" s="129" t="s">
        <v>524</v>
      </c>
    </row>
    <row r="774" spans="1:11" ht="25.5" customHeight="1">
      <c r="A774" s="28" t="s">
        <v>12</v>
      </c>
      <c r="B774" s="39" t="s">
        <v>353</v>
      </c>
      <c r="C774" s="4" t="s">
        <v>13</v>
      </c>
      <c r="D774" s="17"/>
      <c r="E774" s="13">
        <f t="shared" si="85"/>
        <v>2073.62</v>
      </c>
      <c r="F774" s="17">
        <v>2073.62</v>
      </c>
      <c r="G774" s="17"/>
      <c r="H774" s="178">
        <f t="shared" si="77"/>
        <v>0</v>
      </c>
      <c r="I774" s="180">
        <v>0</v>
      </c>
      <c r="J774" s="180">
        <v>0</v>
      </c>
      <c r="K774" s="129" t="s">
        <v>524</v>
      </c>
    </row>
    <row r="775" spans="1:11" ht="25.5" customHeight="1">
      <c r="A775" s="14" t="s">
        <v>299</v>
      </c>
      <c r="B775" s="39" t="s">
        <v>353</v>
      </c>
      <c r="C775" s="4"/>
      <c r="D775" s="17">
        <f>D776+D779+D778+D780</f>
        <v>1150</v>
      </c>
      <c r="E775" s="13">
        <f t="shared" ref="E775:E806" si="86">F775-D775</f>
        <v>1572.2599999999998</v>
      </c>
      <c r="F775" s="17">
        <f>F776+F777</f>
        <v>2722.2599999999998</v>
      </c>
      <c r="G775" s="17">
        <f>G776+G779+G778+G780</f>
        <v>0</v>
      </c>
      <c r="H775" s="178">
        <f t="shared" si="77"/>
        <v>0</v>
      </c>
      <c r="I775" s="17">
        <f>I776+I777</f>
        <v>0</v>
      </c>
      <c r="J775" s="169">
        <f>J776+J777</f>
        <v>0</v>
      </c>
      <c r="K775" s="129"/>
    </row>
    <row r="776" spans="1:11" ht="25.5" customHeight="1">
      <c r="A776" s="28" t="s">
        <v>10</v>
      </c>
      <c r="B776" s="39" t="s">
        <v>353</v>
      </c>
      <c r="C776" s="15" t="s">
        <v>11</v>
      </c>
      <c r="D776" s="17">
        <v>537.6</v>
      </c>
      <c r="E776" s="13">
        <f t="shared" si="86"/>
        <v>1553.23</v>
      </c>
      <c r="F776" s="17">
        <v>2090.83</v>
      </c>
      <c r="G776" s="17"/>
      <c r="H776" s="178">
        <f t="shared" si="77"/>
        <v>0</v>
      </c>
      <c r="I776" s="180">
        <v>0</v>
      </c>
      <c r="J776" s="180">
        <v>0</v>
      </c>
      <c r="K776" s="129" t="s">
        <v>524</v>
      </c>
    </row>
    <row r="777" spans="1:11" ht="25.5" customHeight="1">
      <c r="A777" s="28" t="s">
        <v>12</v>
      </c>
      <c r="B777" s="39" t="s">
        <v>353</v>
      </c>
      <c r="C777" s="15" t="s">
        <v>13</v>
      </c>
      <c r="D777" s="17"/>
      <c r="E777" s="13">
        <f t="shared" si="86"/>
        <v>631.42999999999995</v>
      </c>
      <c r="F777" s="17">
        <v>631.42999999999995</v>
      </c>
      <c r="G777" s="17"/>
      <c r="H777" s="178">
        <f t="shared" si="77"/>
        <v>0</v>
      </c>
      <c r="I777" s="180">
        <v>0</v>
      </c>
      <c r="J777" s="180">
        <v>0</v>
      </c>
      <c r="K777" s="129" t="s">
        <v>524</v>
      </c>
    </row>
    <row r="778" spans="1:11" ht="15" customHeight="1">
      <c r="A778" s="28" t="s">
        <v>104</v>
      </c>
      <c r="B778" s="39" t="s">
        <v>353</v>
      </c>
      <c r="C778" s="15" t="s">
        <v>42</v>
      </c>
      <c r="D778" s="17">
        <v>345.6</v>
      </c>
      <c r="E778" s="13">
        <f t="shared" si="86"/>
        <v>-345.6</v>
      </c>
      <c r="F778" s="17"/>
      <c r="G778" s="17"/>
      <c r="H778" s="178">
        <f t="shared" ref="H778:H841" si="87">I778-G778</f>
        <v>0</v>
      </c>
      <c r="I778" s="180">
        <v>0</v>
      </c>
      <c r="J778" s="180">
        <v>0</v>
      </c>
      <c r="K778" s="181">
        <f>I778-J778</f>
        <v>0</v>
      </c>
    </row>
    <row r="779" spans="1:11" ht="25.5" customHeight="1">
      <c r="A779" s="28" t="s">
        <v>12</v>
      </c>
      <c r="B779" s="39" t="s">
        <v>353</v>
      </c>
      <c r="C779" s="15" t="s">
        <v>13</v>
      </c>
      <c r="D779" s="17">
        <v>162.4</v>
      </c>
      <c r="E779" s="13">
        <f t="shared" si="86"/>
        <v>-162.4</v>
      </c>
      <c r="F779" s="17"/>
      <c r="G779" s="17"/>
      <c r="H779" s="178">
        <f t="shared" si="87"/>
        <v>0</v>
      </c>
      <c r="I779" s="180">
        <v>0</v>
      </c>
      <c r="J779" s="180">
        <v>0</v>
      </c>
      <c r="K779" s="181">
        <f>I779-J779</f>
        <v>0</v>
      </c>
    </row>
    <row r="780" spans="1:11" ht="25.5" customHeight="1">
      <c r="A780" s="28" t="s">
        <v>43</v>
      </c>
      <c r="B780" s="39" t="s">
        <v>353</v>
      </c>
      <c r="C780" s="15" t="s">
        <v>44</v>
      </c>
      <c r="D780" s="17">
        <v>104.4</v>
      </c>
      <c r="E780" s="13">
        <f t="shared" si="86"/>
        <v>-104.4</v>
      </c>
      <c r="F780" s="17"/>
      <c r="G780" s="17"/>
      <c r="H780" s="178">
        <f t="shared" si="87"/>
        <v>0</v>
      </c>
      <c r="I780" s="180">
        <v>0</v>
      </c>
      <c r="J780" s="180">
        <v>0</v>
      </c>
      <c r="K780" s="181">
        <f>I780-J780</f>
        <v>0</v>
      </c>
    </row>
    <row r="781" spans="1:11" ht="25.5" customHeight="1">
      <c r="A781" s="14" t="s">
        <v>299</v>
      </c>
      <c r="B781" s="39" t="s">
        <v>353</v>
      </c>
      <c r="C781" s="4"/>
      <c r="D781" s="17">
        <f>D782+D783</f>
        <v>2104.6999999999998</v>
      </c>
      <c r="E781" s="13">
        <f t="shared" si="86"/>
        <v>6606.54</v>
      </c>
      <c r="F781" s="17">
        <f>F782+F783</f>
        <v>8711.24</v>
      </c>
      <c r="G781" s="17">
        <f>G782+G783</f>
        <v>0</v>
      </c>
      <c r="H781" s="178">
        <f t="shared" si="87"/>
        <v>0</v>
      </c>
      <c r="I781" s="17">
        <f>I782+I783</f>
        <v>0</v>
      </c>
      <c r="J781" s="169">
        <f>J782+J783</f>
        <v>0</v>
      </c>
      <c r="K781" s="129"/>
    </row>
    <row r="782" spans="1:11" ht="19.5" customHeight="1">
      <c r="A782" s="28" t="s">
        <v>10</v>
      </c>
      <c r="B782" s="39" t="s">
        <v>353</v>
      </c>
      <c r="C782" s="15" t="s">
        <v>11</v>
      </c>
      <c r="D782" s="17">
        <v>1616.5</v>
      </c>
      <c r="E782" s="13">
        <f t="shared" si="86"/>
        <v>5074.16</v>
      </c>
      <c r="F782" s="17">
        <v>6690.66</v>
      </c>
      <c r="G782" s="17"/>
      <c r="H782" s="178">
        <f t="shared" si="87"/>
        <v>0</v>
      </c>
      <c r="I782" s="180">
        <v>0</v>
      </c>
      <c r="J782" s="180">
        <v>0</v>
      </c>
      <c r="K782" s="129" t="s">
        <v>524</v>
      </c>
    </row>
    <row r="783" spans="1:11" ht="25.5" customHeight="1">
      <c r="A783" s="28" t="s">
        <v>12</v>
      </c>
      <c r="B783" s="39" t="s">
        <v>353</v>
      </c>
      <c r="C783" s="15" t="s">
        <v>13</v>
      </c>
      <c r="D783" s="17">
        <v>488.2</v>
      </c>
      <c r="E783" s="13">
        <f t="shared" si="86"/>
        <v>1532.3799999999999</v>
      </c>
      <c r="F783" s="17">
        <v>2020.58</v>
      </c>
      <c r="G783" s="17"/>
      <c r="H783" s="178">
        <f t="shared" si="87"/>
        <v>0</v>
      </c>
      <c r="I783" s="180">
        <v>0</v>
      </c>
      <c r="J783" s="180">
        <v>0</v>
      </c>
      <c r="K783" s="129" t="s">
        <v>524</v>
      </c>
    </row>
    <row r="784" spans="1:11" ht="89.25" customHeight="1">
      <c r="A784" s="14" t="s">
        <v>299</v>
      </c>
      <c r="B784" s="39" t="s">
        <v>353</v>
      </c>
      <c r="C784" s="15"/>
      <c r="D784" s="17"/>
      <c r="E784" s="13">
        <f t="shared" si="86"/>
        <v>435.55999999999995</v>
      </c>
      <c r="F784" s="17">
        <f>F785+F786</f>
        <v>435.55999999999995</v>
      </c>
      <c r="G784" s="17"/>
      <c r="H784" s="178">
        <f t="shared" si="87"/>
        <v>0</v>
      </c>
      <c r="I784" s="17">
        <f>I785+I786</f>
        <v>0</v>
      </c>
      <c r="J784" s="169">
        <f>J785+J786</f>
        <v>0</v>
      </c>
      <c r="K784" s="129"/>
    </row>
    <row r="785" spans="1:11" ht="25.5" customHeight="1">
      <c r="A785" s="28" t="s">
        <v>104</v>
      </c>
      <c r="B785" s="39" t="s">
        <v>353</v>
      </c>
      <c r="C785" s="4" t="s">
        <v>42</v>
      </c>
      <c r="D785" s="17"/>
      <c r="E785" s="13">
        <f t="shared" si="86"/>
        <v>334.53</v>
      </c>
      <c r="F785" s="17">
        <v>334.53</v>
      </c>
      <c r="G785" s="17"/>
      <c r="H785" s="178">
        <f t="shared" si="87"/>
        <v>0</v>
      </c>
      <c r="I785" s="180">
        <v>0</v>
      </c>
      <c r="J785" s="180">
        <v>0</v>
      </c>
      <c r="K785" s="132" t="s">
        <v>524</v>
      </c>
    </row>
    <row r="786" spans="1:11" ht="29.25" customHeight="1">
      <c r="A786" s="28" t="s">
        <v>43</v>
      </c>
      <c r="B786" s="39" t="s">
        <v>353</v>
      </c>
      <c r="C786" s="4" t="s">
        <v>44</v>
      </c>
      <c r="D786" s="17"/>
      <c r="E786" s="13">
        <f t="shared" si="86"/>
        <v>101.03</v>
      </c>
      <c r="F786" s="17">
        <v>101.03</v>
      </c>
      <c r="G786" s="17"/>
      <c r="H786" s="178">
        <f t="shared" si="87"/>
        <v>0</v>
      </c>
      <c r="I786" s="180">
        <v>0</v>
      </c>
      <c r="J786" s="180">
        <v>0</v>
      </c>
      <c r="K786" s="132" t="s">
        <v>524</v>
      </c>
    </row>
    <row r="787" spans="1:11" ht="25.5" customHeight="1">
      <c r="A787" s="14" t="s">
        <v>299</v>
      </c>
      <c r="B787" s="39" t="s">
        <v>353</v>
      </c>
      <c r="C787" s="15"/>
      <c r="D787" s="17"/>
      <c r="E787" s="13">
        <f t="shared" si="86"/>
        <v>2613.37</v>
      </c>
      <c r="F787" s="17">
        <f>F788+F789</f>
        <v>2613.37</v>
      </c>
      <c r="G787" s="17"/>
      <c r="H787" s="178">
        <f t="shared" si="87"/>
        <v>0</v>
      </c>
      <c r="I787" s="17">
        <f>I788+I789</f>
        <v>0</v>
      </c>
      <c r="J787" s="169">
        <f>J788+J789</f>
        <v>0</v>
      </c>
      <c r="K787" s="129"/>
    </row>
    <row r="788" spans="1:11" ht="25.5" customHeight="1">
      <c r="A788" s="28" t="s">
        <v>104</v>
      </c>
      <c r="B788" s="39" t="s">
        <v>353</v>
      </c>
      <c r="C788" s="4" t="s">
        <v>42</v>
      </c>
      <c r="D788" s="17"/>
      <c r="E788" s="13">
        <f t="shared" si="86"/>
        <v>2007.2</v>
      </c>
      <c r="F788" s="17">
        <f>501.8+1505.4</f>
        <v>2007.2</v>
      </c>
      <c r="G788" s="17"/>
      <c r="H788" s="178">
        <f t="shared" si="87"/>
        <v>0</v>
      </c>
      <c r="I788" s="180">
        <v>0</v>
      </c>
      <c r="J788" s="180">
        <v>0</v>
      </c>
      <c r="K788" s="132" t="s">
        <v>524</v>
      </c>
    </row>
    <row r="789" spans="1:11" ht="38.25" customHeight="1">
      <c r="A789" s="28" t="s">
        <v>46</v>
      </c>
      <c r="B789" s="39" t="s">
        <v>353</v>
      </c>
      <c r="C789" s="4" t="s">
        <v>47</v>
      </c>
      <c r="D789" s="17"/>
      <c r="E789" s="13">
        <f t="shared" si="86"/>
        <v>606.16999999999996</v>
      </c>
      <c r="F789" s="17">
        <f>151.54+454.63</f>
        <v>606.16999999999996</v>
      </c>
      <c r="G789" s="17"/>
      <c r="H789" s="178">
        <f t="shared" si="87"/>
        <v>0</v>
      </c>
      <c r="I789" s="180">
        <v>0</v>
      </c>
      <c r="J789" s="180">
        <v>0</v>
      </c>
      <c r="K789" s="132" t="s">
        <v>524</v>
      </c>
    </row>
    <row r="790" spans="1:11" ht="16.5" customHeight="1">
      <c r="A790" s="14" t="s">
        <v>299</v>
      </c>
      <c r="B790" s="39" t="s">
        <v>353</v>
      </c>
      <c r="C790" s="15"/>
      <c r="D790" s="17"/>
      <c r="E790" s="13">
        <f t="shared" si="86"/>
        <v>217.78</v>
      </c>
      <c r="F790" s="17">
        <f>F791+F792</f>
        <v>217.78</v>
      </c>
      <c r="G790" s="17"/>
      <c r="H790" s="178">
        <f t="shared" si="87"/>
        <v>0</v>
      </c>
      <c r="I790" s="17">
        <f>I791+I792</f>
        <v>0</v>
      </c>
      <c r="J790" s="169">
        <f>J791+J792</f>
        <v>0</v>
      </c>
      <c r="K790" s="129"/>
    </row>
    <row r="791" spans="1:11" ht="39" customHeight="1">
      <c r="A791" s="28" t="s">
        <v>10</v>
      </c>
      <c r="B791" s="39" t="s">
        <v>353</v>
      </c>
      <c r="C791" s="15" t="s">
        <v>11</v>
      </c>
      <c r="D791" s="17"/>
      <c r="E791" s="13">
        <f t="shared" si="86"/>
        <v>167.27</v>
      </c>
      <c r="F791" s="17">
        <v>167.27</v>
      </c>
      <c r="G791" s="17"/>
      <c r="H791" s="178">
        <f t="shared" si="87"/>
        <v>0</v>
      </c>
      <c r="I791" s="180">
        <v>0</v>
      </c>
      <c r="J791" s="180">
        <v>0</v>
      </c>
      <c r="K791" s="132" t="s">
        <v>524</v>
      </c>
    </row>
    <row r="792" spans="1:11" ht="15.75" customHeight="1">
      <c r="A792" s="28" t="s">
        <v>12</v>
      </c>
      <c r="B792" s="39" t="s">
        <v>353</v>
      </c>
      <c r="C792" s="15" t="s">
        <v>13</v>
      </c>
      <c r="D792" s="17"/>
      <c r="E792" s="13">
        <f t="shared" si="86"/>
        <v>50.51</v>
      </c>
      <c r="F792" s="17">
        <v>50.51</v>
      </c>
      <c r="G792" s="17"/>
      <c r="H792" s="178">
        <f t="shared" si="87"/>
        <v>0</v>
      </c>
      <c r="I792" s="180">
        <v>0</v>
      </c>
      <c r="J792" s="180">
        <v>0</v>
      </c>
      <c r="K792" s="132" t="s">
        <v>524</v>
      </c>
    </row>
    <row r="793" spans="1:11" ht="24.75" customHeight="1">
      <c r="A793" s="14" t="s">
        <v>299</v>
      </c>
      <c r="B793" s="39" t="s">
        <v>353</v>
      </c>
      <c r="C793" s="15"/>
      <c r="D793" s="17">
        <f>SUM(D794:D797)</f>
        <v>1299</v>
      </c>
      <c r="E793" s="13">
        <f t="shared" si="86"/>
        <v>-1299</v>
      </c>
      <c r="F793" s="17"/>
      <c r="G793" s="17">
        <f>SUM(G794:G797)</f>
        <v>0</v>
      </c>
      <c r="H793" s="178">
        <f t="shared" si="87"/>
        <v>0</v>
      </c>
      <c r="I793" s="180">
        <v>0</v>
      </c>
      <c r="J793" s="180">
        <v>0</v>
      </c>
      <c r="K793" s="129"/>
    </row>
    <row r="794" spans="1:11" ht="20.25" customHeight="1">
      <c r="A794" s="28" t="s">
        <v>10</v>
      </c>
      <c r="B794" s="39" t="s">
        <v>353</v>
      </c>
      <c r="C794" s="15" t="s">
        <v>11</v>
      </c>
      <c r="D794" s="17">
        <v>563</v>
      </c>
      <c r="E794" s="13">
        <f t="shared" si="86"/>
        <v>-563</v>
      </c>
      <c r="F794" s="17"/>
      <c r="G794" s="17"/>
      <c r="H794" s="178">
        <f t="shared" si="87"/>
        <v>0</v>
      </c>
      <c r="I794" s="180">
        <v>0</v>
      </c>
      <c r="J794" s="180">
        <v>0</v>
      </c>
      <c r="K794" s="181">
        <f>I794-J794</f>
        <v>0</v>
      </c>
    </row>
    <row r="795" spans="1:11" ht="21.75" customHeight="1">
      <c r="A795" s="28" t="s">
        <v>104</v>
      </c>
      <c r="B795" s="39" t="s">
        <v>353</v>
      </c>
      <c r="C795" s="15" t="s">
        <v>42</v>
      </c>
      <c r="D795" s="17">
        <v>434.7</v>
      </c>
      <c r="E795" s="13">
        <f t="shared" si="86"/>
        <v>-434.7</v>
      </c>
      <c r="F795" s="17"/>
      <c r="G795" s="17"/>
      <c r="H795" s="178">
        <f t="shared" si="87"/>
        <v>0</v>
      </c>
      <c r="I795" s="180">
        <v>0</v>
      </c>
      <c r="J795" s="180">
        <v>0</v>
      </c>
      <c r="K795" s="181">
        <f>I795-J795</f>
        <v>0</v>
      </c>
    </row>
    <row r="796" spans="1:11" ht="19.5" customHeight="1">
      <c r="A796" s="28" t="s">
        <v>12</v>
      </c>
      <c r="B796" s="39" t="s">
        <v>353</v>
      </c>
      <c r="C796" s="15" t="s">
        <v>13</v>
      </c>
      <c r="D796" s="17">
        <v>170</v>
      </c>
      <c r="E796" s="13">
        <f t="shared" si="86"/>
        <v>-170</v>
      </c>
      <c r="F796" s="17"/>
      <c r="G796" s="17"/>
      <c r="H796" s="178">
        <f t="shared" si="87"/>
        <v>0</v>
      </c>
      <c r="I796" s="180">
        <v>0</v>
      </c>
      <c r="J796" s="180">
        <v>0</v>
      </c>
      <c r="K796" s="181">
        <f>I796-J796</f>
        <v>0</v>
      </c>
    </row>
    <row r="797" spans="1:11" ht="25.5" customHeight="1">
      <c r="A797" s="28" t="s">
        <v>276</v>
      </c>
      <c r="B797" s="39" t="s">
        <v>353</v>
      </c>
      <c r="C797" s="15" t="s">
        <v>44</v>
      </c>
      <c r="D797" s="17">
        <v>131.30000000000001</v>
      </c>
      <c r="E797" s="13">
        <f t="shared" si="86"/>
        <v>-131.30000000000001</v>
      </c>
      <c r="F797" s="17"/>
      <c r="G797" s="17"/>
      <c r="H797" s="178">
        <f t="shared" si="87"/>
        <v>0</v>
      </c>
      <c r="I797" s="180">
        <v>0</v>
      </c>
      <c r="J797" s="180">
        <v>0</v>
      </c>
      <c r="K797" s="181">
        <f>I797-J797</f>
        <v>0</v>
      </c>
    </row>
    <row r="798" spans="1:11" ht="25.5" customHeight="1">
      <c r="A798" s="14" t="s">
        <v>299</v>
      </c>
      <c r="B798" s="39" t="s">
        <v>353</v>
      </c>
      <c r="C798" s="15"/>
      <c r="D798" s="17">
        <f>D799+D800</f>
        <v>736</v>
      </c>
      <c r="E798" s="13">
        <f t="shared" si="86"/>
        <v>1714.04</v>
      </c>
      <c r="F798" s="17">
        <f>SUM(F799:F800)</f>
        <v>2450.04</v>
      </c>
      <c r="G798" s="17">
        <f>G799+G800</f>
        <v>0</v>
      </c>
      <c r="H798" s="178">
        <f t="shared" si="87"/>
        <v>0</v>
      </c>
      <c r="I798" s="17">
        <f>SUM(I799:I800)</f>
        <v>0</v>
      </c>
      <c r="J798" s="169">
        <f>SUM(J799:J800)</f>
        <v>0</v>
      </c>
      <c r="K798" s="129"/>
    </row>
    <row r="799" spans="1:11" ht="25.5" customHeight="1">
      <c r="A799" s="28" t="s">
        <v>10</v>
      </c>
      <c r="B799" s="39" t="s">
        <v>353</v>
      </c>
      <c r="C799" s="15" t="s">
        <v>11</v>
      </c>
      <c r="D799" s="17">
        <v>565.29999999999995</v>
      </c>
      <c r="E799" s="13">
        <f t="shared" si="86"/>
        <v>1316.45</v>
      </c>
      <c r="F799" s="17">
        <v>1881.75</v>
      </c>
      <c r="G799" s="17"/>
      <c r="H799" s="178">
        <f t="shared" si="87"/>
        <v>0</v>
      </c>
      <c r="I799" s="180">
        <v>0</v>
      </c>
      <c r="J799" s="180">
        <v>0</v>
      </c>
      <c r="K799" s="129" t="s">
        <v>524</v>
      </c>
    </row>
    <row r="800" spans="1:11" ht="25.5" customHeight="1">
      <c r="A800" s="28" t="s">
        <v>12</v>
      </c>
      <c r="B800" s="39" t="s">
        <v>353</v>
      </c>
      <c r="C800" s="15" t="s">
        <v>13</v>
      </c>
      <c r="D800" s="17">
        <v>170.7</v>
      </c>
      <c r="E800" s="13">
        <f t="shared" si="86"/>
        <v>397.59</v>
      </c>
      <c r="F800" s="17">
        <v>568.29</v>
      </c>
      <c r="G800" s="17"/>
      <c r="H800" s="178">
        <f t="shared" si="87"/>
        <v>0</v>
      </c>
      <c r="I800" s="180">
        <v>0</v>
      </c>
      <c r="J800" s="180">
        <v>0</v>
      </c>
      <c r="K800" s="129" t="s">
        <v>524</v>
      </c>
    </row>
    <row r="801" spans="1:11" ht="25.5" customHeight="1">
      <c r="A801" s="14" t="s">
        <v>299</v>
      </c>
      <c r="B801" s="39" t="s">
        <v>353</v>
      </c>
      <c r="C801" s="15"/>
      <c r="D801" s="17">
        <f>D802+D803</f>
        <v>1200</v>
      </c>
      <c r="E801" s="13">
        <f t="shared" si="86"/>
        <v>2992.2799999999997</v>
      </c>
      <c r="F801" s="17">
        <f>F802+F803</f>
        <v>4192.28</v>
      </c>
      <c r="G801" s="17">
        <f>G802+G803</f>
        <v>0</v>
      </c>
      <c r="H801" s="178">
        <f t="shared" si="87"/>
        <v>0</v>
      </c>
      <c r="I801" s="17">
        <f>I802+I803</f>
        <v>0</v>
      </c>
      <c r="J801" s="169">
        <f>J802+J803</f>
        <v>0</v>
      </c>
      <c r="K801" s="129"/>
    </row>
    <row r="802" spans="1:11" ht="15" customHeight="1">
      <c r="A802" s="28" t="s">
        <v>10</v>
      </c>
      <c r="B802" s="39" t="s">
        <v>353</v>
      </c>
      <c r="C802" s="15" t="s">
        <v>11</v>
      </c>
      <c r="D802" s="17">
        <v>922</v>
      </c>
      <c r="E802" s="13">
        <f t="shared" si="86"/>
        <v>2297.88</v>
      </c>
      <c r="F802" s="17">
        <v>3219.88</v>
      </c>
      <c r="G802" s="17"/>
      <c r="H802" s="178">
        <f t="shared" si="87"/>
        <v>0</v>
      </c>
      <c r="I802" s="180">
        <v>0</v>
      </c>
      <c r="J802" s="180">
        <v>0</v>
      </c>
      <c r="K802" s="129" t="s">
        <v>524</v>
      </c>
    </row>
    <row r="803" spans="1:11" ht="15" customHeight="1">
      <c r="A803" s="28" t="s">
        <v>12</v>
      </c>
      <c r="B803" s="39" t="s">
        <v>353</v>
      </c>
      <c r="C803" s="15" t="s">
        <v>13</v>
      </c>
      <c r="D803" s="17">
        <v>278</v>
      </c>
      <c r="E803" s="13">
        <f t="shared" si="86"/>
        <v>694.4</v>
      </c>
      <c r="F803" s="17">
        <v>972.4</v>
      </c>
      <c r="G803" s="17"/>
      <c r="H803" s="178">
        <f t="shared" si="87"/>
        <v>0</v>
      </c>
      <c r="I803" s="180">
        <v>0</v>
      </c>
      <c r="J803" s="180">
        <v>0</v>
      </c>
      <c r="K803" s="129" t="s">
        <v>524</v>
      </c>
    </row>
    <row r="804" spans="1:11" ht="25.5" customHeight="1">
      <c r="A804" s="14" t="s">
        <v>299</v>
      </c>
      <c r="B804" s="39" t="s">
        <v>353</v>
      </c>
      <c r="C804" s="15"/>
      <c r="D804" s="13">
        <f>D805+D806</f>
        <v>200</v>
      </c>
      <c r="E804" s="13">
        <f t="shared" si="86"/>
        <v>-200</v>
      </c>
      <c r="F804" s="13"/>
      <c r="G804" s="13">
        <f>G805+G806</f>
        <v>0</v>
      </c>
      <c r="H804" s="178">
        <f t="shared" si="87"/>
        <v>0</v>
      </c>
      <c r="I804" s="180">
        <v>0</v>
      </c>
      <c r="J804" s="180">
        <v>0</v>
      </c>
      <c r="K804" s="129"/>
    </row>
    <row r="805" spans="1:11" ht="25.5" customHeight="1">
      <c r="A805" s="28" t="s">
        <v>10</v>
      </c>
      <c r="B805" s="39" t="s">
        <v>353</v>
      </c>
      <c r="C805" s="15" t="s">
        <v>11</v>
      </c>
      <c r="D805" s="13">
        <v>153.6</v>
      </c>
      <c r="E805" s="13">
        <f t="shared" si="86"/>
        <v>-153.6</v>
      </c>
      <c r="F805" s="13"/>
      <c r="G805" s="13"/>
      <c r="H805" s="178">
        <f t="shared" si="87"/>
        <v>0</v>
      </c>
      <c r="I805" s="180">
        <v>0</v>
      </c>
      <c r="J805" s="180">
        <v>0</v>
      </c>
      <c r="K805" s="181">
        <f>I805-J805</f>
        <v>0</v>
      </c>
    </row>
    <row r="806" spans="1:11" ht="15" customHeight="1">
      <c r="A806" s="28" t="s">
        <v>12</v>
      </c>
      <c r="B806" s="39" t="s">
        <v>353</v>
      </c>
      <c r="C806" s="15" t="s">
        <v>13</v>
      </c>
      <c r="D806" s="13">
        <v>46.4</v>
      </c>
      <c r="E806" s="13">
        <f t="shared" si="86"/>
        <v>-46.4</v>
      </c>
      <c r="F806" s="13"/>
      <c r="G806" s="13"/>
      <c r="H806" s="178">
        <f t="shared" si="87"/>
        <v>0</v>
      </c>
      <c r="I806" s="180">
        <v>0</v>
      </c>
      <c r="J806" s="180">
        <v>0</v>
      </c>
      <c r="K806" s="181">
        <f>I806-J806</f>
        <v>0</v>
      </c>
    </row>
    <row r="807" spans="1:11" ht="25.5" customHeight="1">
      <c r="A807" s="14" t="s">
        <v>299</v>
      </c>
      <c r="B807" s="39" t="s">
        <v>353</v>
      </c>
      <c r="C807" s="15"/>
      <c r="D807" s="17"/>
      <c r="E807" s="13">
        <f t="shared" ref="E807:E838" si="88">F807-D807</f>
        <v>1306.69</v>
      </c>
      <c r="F807" s="17">
        <f>F808</f>
        <v>1306.69</v>
      </c>
      <c r="G807" s="17"/>
      <c r="H807" s="178">
        <f t="shared" si="87"/>
        <v>0</v>
      </c>
      <c r="I807" s="17">
        <f>I808</f>
        <v>0</v>
      </c>
      <c r="J807" s="169">
        <f>J808</f>
        <v>0</v>
      </c>
    </row>
    <row r="808" spans="1:11" ht="25.5" customHeight="1">
      <c r="A808" s="28" t="s">
        <v>247</v>
      </c>
      <c r="B808" s="39" t="s">
        <v>353</v>
      </c>
      <c r="C808" s="15" t="s">
        <v>248</v>
      </c>
      <c r="D808" s="17"/>
      <c r="E808" s="13">
        <f t="shared" si="88"/>
        <v>1306.69</v>
      </c>
      <c r="F808" s="17">
        <v>1306.69</v>
      </c>
      <c r="G808" s="17"/>
      <c r="H808" s="178">
        <f t="shared" si="87"/>
        <v>0</v>
      </c>
      <c r="I808" s="180">
        <v>0</v>
      </c>
      <c r="J808" s="180">
        <v>0</v>
      </c>
      <c r="K808" s="132" t="s">
        <v>524</v>
      </c>
    </row>
    <row r="809" spans="1:11" ht="25.5" customHeight="1">
      <c r="A809" s="30" t="s">
        <v>117</v>
      </c>
      <c r="B809" s="15" t="s">
        <v>443</v>
      </c>
      <c r="C809" s="15"/>
      <c r="D809" s="17">
        <f>D810</f>
        <v>5460.2</v>
      </c>
      <c r="E809" s="13">
        <f t="shared" si="88"/>
        <v>-5460.2</v>
      </c>
      <c r="F809" s="17"/>
      <c r="G809" s="17">
        <f>G810</f>
        <v>5460.2</v>
      </c>
      <c r="H809" s="178">
        <f t="shared" si="87"/>
        <v>-5460.2</v>
      </c>
      <c r="I809" s="180">
        <v>0</v>
      </c>
      <c r="J809" s="180">
        <v>0</v>
      </c>
      <c r="K809" s="129"/>
    </row>
    <row r="810" spans="1:11" ht="16.5" customHeight="1">
      <c r="A810" s="28" t="s">
        <v>119</v>
      </c>
      <c r="B810" s="15" t="s">
        <v>445</v>
      </c>
      <c r="C810" s="15"/>
      <c r="D810" s="17">
        <f>SUBTOTAL(9,D811:D812)</f>
        <v>5460.2</v>
      </c>
      <c r="E810" s="13">
        <f t="shared" si="88"/>
        <v>-5460.2</v>
      </c>
      <c r="F810" s="17"/>
      <c r="G810" s="17">
        <f>SUBTOTAL(9,G811:G812)</f>
        <v>5460.2</v>
      </c>
      <c r="H810" s="178">
        <f t="shared" si="87"/>
        <v>-5460.2</v>
      </c>
      <c r="I810" s="180">
        <v>0</v>
      </c>
      <c r="J810" s="180">
        <v>0</v>
      </c>
      <c r="K810" s="129"/>
    </row>
    <row r="811" spans="1:11" ht="27" customHeight="1">
      <c r="A811" s="28" t="s">
        <v>104</v>
      </c>
      <c r="B811" s="15" t="s">
        <v>445</v>
      </c>
      <c r="C811" s="15" t="s">
        <v>42</v>
      </c>
      <c r="D811" s="17">
        <v>4193.7</v>
      </c>
      <c r="E811" s="13">
        <f t="shared" si="88"/>
        <v>-4193.7</v>
      </c>
      <c r="F811" s="17"/>
      <c r="G811" s="17">
        <v>4193.7</v>
      </c>
      <c r="H811" s="178">
        <f t="shared" si="87"/>
        <v>-4193.7</v>
      </c>
      <c r="I811" s="180">
        <v>0</v>
      </c>
      <c r="J811" s="180">
        <v>0</v>
      </c>
      <c r="K811" s="181">
        <f>I811-J811</f>
        <v>0</v>
      </c>
    </row>
    <row r="812" spans="1:11" ht="40.5" customHeight="1">
      <c r="A812" s="28" t="s">
        <v>43</v>
      </c>
      <c r="B812" s="15" t="s">
        <v>445</v>
      </c>
      <c r="C812" s="15" t="s">
        <v>44</v>
      </c>
      <c r="D812" s="17">
        <v>1266.5</v>
      </c>
      <c r="E812" s="13">
        <f t="shared" si="88"/>
        <v>-1266.5</v>
      </c>
      <c r="F812" s="17"/>
      <c r="G812" s="17">
        <v>1266.5</v>
      </c>
      <c r="H812" s="178">
        <f t="shared" si="87"/>
        <v>-1266.5</v>
      </c>
      <c r="I812" s="180">
        <v>0</v>
      </c>
      <c r="J812" s="180">
        <v>0</v>
      </c>
      <c r="K812" s="181">
        <f>I812-J812</f>
        <v>0</v>
      </c>
    </row>
    <row r="813" spans="1:11" ht="25.5" customHeight="1">
      <c r="A813" s="28" t="s">
        <v>485</v>
      </c>
      <c r="B813" s="15" t="s">
        <v>446</v>
      </c>
      <c r="C813" s="15"/>
      <c r="D813" s="17">
        <f>SUBTOTAL(9,D814:D816)</f>
        <v>323.20999999999998</v>
      </c>
      <c r="E813" s="13">
        <f t="shared" si="88"/>
        <v>-323.20999999999998</v>
      </c>
      <c r="F813" s="17"/>
      <c r="G813" s="17">
        <f>SUBTOTAL(9,G814:G816)</f>
        <v>323.20999999999998</v>
      </c>
      <c r="H813" s="178">
        <f t="shared" si="87"/>
        <v>-323.20999999999998</v>
      </c>
      <c r="I813" s="180">
        <v>0</v>
      </c>
      <c r="J813" s="180">
        <v>0</v>
      </c>
      <c r="K813" s="129"/>
    </row>
    <row r="814" spans="1:11" ht="15.75" customHeight="1">
      <c r="A814" s="28" t="s">
        <v>46</v>
      </c>
      <c r="B814" s="15" t="s">
        <v>446</v>
      </c>
      <c r="C814" s="4" t="s">
        <v>47</v>
      </c>
      <c r="D814" s="17"/>
      <c r="E814" s="13">
        <f t="shared" si="88"/>
        <v>0</v>
      </c>
      <c r="F814" s="17"/>
      <c r="G814" s="17"/>
      <c r="H814" s="178">
        <f t="shared" si="87"/>
        <v>0</v>
      </c>
      <c r="I814" s="180">
        <v>0</v>
      </c>
      <c r="J814" s="180">
        <v>0</v>
      </c>
      <c r="K814" s="181">
        <f>I814-J814</f>
        <v>0</v>
      </c>
    </row>
    <row r="815" spans="1:11" ht="25.5" customHeight="1">
      <c r="A815" s="28" t="s">
        <v>19</v>
      </c>
      <c r="B815" s="15" t="s">
        <v>446</v>
      </c>
      <c r="C815" s="4">
        <v>244</v>
      </c>
      <c r="D815" s="17">
        <f>90.71+182.5+48</f>
        <v>321.20999999999998</v>
      </c>
      <c r="E815" s="13">
        <f t="shared" si="88"/>
        <v>-321.20999999999998</v>
      </c>
      <c r="F815" s="17"/>
      <c r="G815" s="17">
        <f>90.71+182.5+48</f>
        <v>321.20999999999998</v>
      </c>
      <c r="H815" s="178">
        <f t="shared" si="87"/>
        <v>-321.20999999999998</v>
      </c>
      <c r="I815" s="180">
        <v>0</v>
      </c>
      <c r="J815" s="180">
        <v>0</v>
      </c>
      <c r="K815" s="181">
        <f>I815-J815</f>
        <v>0</v>
      </c>
    </row>
    <row r="816" spans="1:11" ht="16.5" customHeight="1">
      <c r="A816" s="28" t="s">
        <v>21</v>
      </c>
      <c r="B816" s="15" t="s">
        <v>446</v>
      </c>
      <c r="C816" s="15" t="s">
        <v>22</v>
      </c>
      <c r="D816" s="17">
        <v>2</v>
      </c>
      <c r="E816" s="13">
        <f t="shared" si="88"/>
        <v>-2</v>
      </c>
      <c r="F816" s="17"/>
      <c r="G816" s="17">
        <v>2</v>
      </c>
      <c r="H816" s="178">
        <f t="shared" si="87"/>
        <v>-2</v>
      </c>
      <c r="I816" s="180">
        <v>0</v>
      </c>
      <c r="J816" s="180">
        <v>0</v>
      </c>
      <c r="K816" s="181">
        <f>I816-J816</f>
        <v>0</v>
      </c>
    </row>
    <row r="817" spans="1:11" ht="36" customHeight="1">
      <c r="A817" s="37" t="s">
        <v>249</v>
      </c>
      <c r="B817" s="4" t="s">
        <v>250</v>
      </c>
      <c r="C817" s="4" t="s">
        <v>192</v>
      </c>
      <c r="D817" s="17">
        <v>12200</v>
      </c>
      <c r="E817" s="12">
        <f t="shared" si="88"/>
        <v>-12200</v>
      </c>
      <c r="F817" s="17"/>
      <c r="G817" s="17">
        <v>24700</v>
      </c>
      <c r="H817" s="178">
        <f t="shared" si="87"/>
        <v>-12575</v>
      </c>
      <c r="I817" s="179">
        <v>12125</v>
      </c>
      <c r="J817" s="180">
        <v>24456</v>
      </c>
      <c r="K817" s="181">
        <f>I817-J817</f>
        <v>-12331</v>
      </c>
    </row>
    <row r="818" spans="1:11" ht="25.5" customHeight="1">
      <c r="A818" s="30" t="s">
        <v>440</v>
      </c>
      <c r="B818" s="15" t="s">
        <v>438</v>
      </c>
      <c r="C818" s="7"/>
      <c r="D818" s="17">
        <f>D837</f>
        <v>0</v>
      </c>
      <c r="E818" s="13">
        <f t="shared" si="88"/>
        <v>33.6</v>
      </c>
      <c r="F818" s="17">
        <f>F819+F825</f>
        <v>33.6</v>
      </c>
      <c r="G818" s="17">
        <f>G837</f>
        <v>0</v>
      </c>
      <c r="H818" s="178">
        <f t="shared" si="87"/>
        <v>33.6</v>
      </c>
      <c r="I818" s="17">
        <f>I819+I825</f>
        <v>33.6</v>
      </c>
      <c r="J818" s="169">
        <f>J819+J825</f>
        <v>33.6</v>
      </c>
      <c r="K818" s="129"/>
    </row>
    <row r="819" spans="1:11" ht="25.5" hidden="1" customHeight="1">
      <c r="A819" s="30" t="s">
        <v>437</v>
      </c>
      <c r="B819" s="7" t="s">
        <v>438</v>
      </c>
      <c r="C819" s="7"/>
      <c r="D819" s="17">
        <f>D827</f>
        <v>0</v>
      </c>
      <c r="E819" s="13">
        <f t="shared" si="88"/>
        <v>0</v>
      </c>
      <c r="F819" s="17">
        <f>F820</f>
        <v>0</v>
      </c>
      <c r="G819" s="17">
        <f>G827</f>
        <v>0</v>
      </c>
      <c r="H819" s="178">
        <f t="shared" si="87"/>
        <v>0</v>
      </c>
      <c r="I819" s="17">
        <f>I820</f>
        <v>0</v>
      </c>
      <c r="J819" s="169">
        <f>J820</f>
        <v>0</v>
      </c>
      <c r="K819" s="129"/>
    </row>
    <row r="820" spans="1:11" ht="25.5" hidden="1" customHeight="1">
      <c r="A820" s="30" t="s">
        <v>437</v>
      </c>
      <c r="B820" s="7" t="s">
        <v>438</v>
      </c>
      <c r="C820" s="4"/>
      <c r="D820" s="17"/>
      <c r="E820" s="13">
        <f t="shared" si="88"/>
        <v>0</v>
      </c>
      <c r="F820" s="17"/>
      <c r="G820" s="17"/>
      <c r="H820" s="178">
        <f t="shared" si="87"/>
        <v>0</v>
      </c>
      <c r="I820" s="180">
        <v>0</v>
      </c>
      <c r="J820" s="180">
        <v>0</v>
      </c>
      <c r="K820" s="129"/>
    </row>
    <row r="821" spans="1:11" ht="15" customHeight="1">
      <c r="A821" s="28" t="s">
        <v>183</v>
      </c>
      <c r="B821" s="15" t="s">
        <v>499</v>
      </c>
      <c r="C821" s="7"/>
      <c r="D821" s="17"/>
      <c r="E821" s="13">
        <f t="shared" si="88"/>
        <v>2496.31</v>
      </c>
      <c r="F821" s="17">
        <f>F822</f>
        <v>2496.31</v>
      </c>
      <c r="G821" s="17"/>
      <c r="H821" s="178">
        <f t="shared" si="87"/>
        <v>2496.31</v>
      </c>
      <c r="I821" s="17">
        <f>I822</f>
        <v>2496.31</v>
      </c>
      <c r="J821" s="169">
        <f>J822</f>
        <v>2496.31</v>
      </c>
      <c r="K821" s="129"/>
    </row>
    <row r="822" spans="1:11" ht="28.5" customHeight="1">
      <c r="A822" s="28" t="s">
        <v>503</v>
      </c>
      <c r="B822" s="15" t="s">
        <v>500</v>
      </c>
      <c r="C822" s="7"/>
      <c r="D822" s="17"/>
      <c r="E822" s="13">
        <f t="shared" si="88"/>
        <v>2496.31</v>
      </c>
      <c r="F822" s="17">
        <f>F823</f>
        <v>2496.31</v>
      </c>
      <c r="G822" s="17"/>
      <c r="H822" s="178">
        <f t="shared" si="87"/>
        <v>2496.31</v>
      </c>
      <c r="I822" s="17">
        <f>I823</f>
        <v>2496.31</v>
      </c>
      <c r="J822" s="169">
        <f>J823</f>
        <v>2496.31</v>
      </c>
      <c r="K822" s="129"/>
    </row>
    <row r="823" spans="1:11" ht="25.5" customHeight="1">
      <c r="A823" s="28" t="s">
        <v>558</v>
      </c>
      <c r="B823" s="15" t="s">
        <v>557</v>
      </c>
      <c r="C823" s="7"/>
      <c r="D823" s="17"/>
      <c r="E823" s="13">
        <f t="shared" si="88"/>
        <v>2496.31</v>
      </c>
      <c r="F823" s="17">
        <f>F824+F825+F826</f>
        <v>2496.31</v>
      </c>
      <c r="G823" s="17"/>
      <c r="H823" s="178">
        <f t="shared" si="87"/>
        <v>2496.31</v>
      </c>
      <c r="I823" s="17">
        <f>I824+I825+I826</f>
        <v>2496.31</v>
      </c>
      <c r="J823" s="169">
        <f>J824+J825+J826</f>
        <v>2496.31</v>
      </c>
      <c r="K823" s="129"/>
    </row>
    <row r="824" spans="1:11" ht="25.5" customHeight="1">
      <c r="A824" s="28" t="s">
        <v>104</v>
      </c>
      <c r="B824" s="15" t="s">
        <v>557</v>
      </c>
      <c r="C824" s="4" t="s">
        <v>42</v>
      </c>
      <c r="D824" s="17"/>
      <c r="E824" s="13">
        <f t="shared" si="88"/>
        <v>1891.48</v>
      </c>
      <c r="F824" s="17">
        <v>1891.48</v>
      </c>
      <c r="G824" s="17"/>
      <c r="H824" s="178">
        <f t="shared" si="87"/>
        <v>1891.48</v>
      </c>
      <c r="I824" s="17">
        <v>1891.48</v>
      </c>
      <c r="J824" s="169">
        <v>1891.48</v>
      </c>
      <c r="K824" s="181">
        <f>I824-J824</f>
        <v>0</v>
      </c>
    </row>
    <row r="825" spans="1:11" ht="38.25" customHeight="1">
      <c r="A825" s="28" t="s">
        <v>46</v>
      </c>
      <c r="B825" s="15" t="s">
        <v>557</v>
      </c>
      <c r="C825" s="4">
        <v>122</v>
      </c>
      <c r="D825" s="17"/>
      <c r="E825" s="13">
        <f t="shared" si="88"/>
        <v>33.6</v>
      </c>
      <c r="F825" s="17">
        <v>33.6</v>
      </c>
      <c r="G825" s="17"/>
      <c r="H825" s="178">
        <f t="shared" si="87"/>
        <v>33.6</v>
      </c>
      <c r="I825" s="17">
        <v>33.6</v>
      </c>
      <c r="J825" s="169">
        <v>33.6</v>
      </c>
      <c r="K825" s="181">
        <f>I825-J825</f>
        <v>0</v>
      </c>
    </row>
    <row r="826" spans="1:11" ht="18" customHeight="1">
      <c r="A826" s="28" t="s">
        <v>43</v>
      </c>
      <c r="B826" s="15" t="s">
        <v>557</v>
      </c>
      <c r="C826" s="4" t="s">
        <v>44</v>
      </c>
      <c r="D826" s="17"/>
      <c r="E826" s="13">
        <f t="shared" si="88"/>
        <v>571.23</v>
      </c>
      <c r="F826" s="17">
        <v>571.23</v>
      </c>
      <c r="G826" s="17"/>
      <c r="H826" s="178">
        <f t="shared" si="87"/>
        <v>571.23</v>
      </c>
      <c r="I826" s="17">
        <v>571.23</v>
      </c>
      <c r="J826" s="169">
        <v>571.23</v>
      </c>
      <c r="K826" s="181">
        <f>I826-J826</f>
        <v>0</v>
      </c>
    </row>
    <row r="827" spans="1:11" ht="39.75" customHeight="1">
      <c r="A827" s="28" t="s">
        <v>185</v>
      </c>
      <c r="B827" s="15" t="s">
        <v>501</v>
      </c>
      <c r="C827" s="7"/>
      <c r="D827" s="17"/>
      <c r="E827" s="13">
        <f t="shared" si="88"/>
        <v>1515.31</v>
      </c>
      <c r="F827" s="17">
        <f>F828</f>
        <v>1515.31</v>
      </c>
      <c r="G827" s="17"/>
      <c r="H827" s="178">
        <f t="shared" si="87"/>
        <v>1515.31</v>
      </c>
      <c r="I827" s="17">
        <f>I828</f>
        <v>1515.31</v>
      </c>
      <c r="J827" s="169">
        <f>J828</f>
        <v>1515.31</v>
      </c>
      <c r="K827" s="129"/>
    </row>
    <row r="828" spans="1:11" ht="25.5" customHeight="1">
      <c r="A828" s="28" t="s">
        <v>504</v>
      </c>
      <c r="B828" s="15" t="s">
        <v>502</v>
      </c>
      <c r="C828" s="7"/>
      <c r="D828" s="17"/>
      <c r="E828" s="13">
        <f t="shared" si="88"/>
        <v>1515.31</v>
      </c>
      <c r="F828" s="17">
        <f>F829</f>
        <v>1515.31</v>
      </c>
      <c r="G828" s="17"/>
      <c r="H828" s="178">
        <f t="shared" si="87"/>
        <v>1515.31</v>
      </c>
      <c r="I828" s="17">
        <f>I829</f>
        <v>1515.31</v>
      </c>
      <c r="J828" s="169">
        <f>J829</f>
        <v>1515.31</v>
      </c>
      <c r="K828" s="129"/>
    </row>
    <row r="829" spans="1:11" ht="25.5" customHeight="1">
      <c r="A829" s="28" t="s">
        <v>561</v>
      </c>
      <c r="B829" s="15" t="s">
        <v>559</v>
      </c>
      <c r="C829" s="7"/>
      <c r="D829" s="17"/>
      <c r="E829" s="13">
        <f t="shared" si="88"/>
        <v>1515.31</v>
      </c>
      <c r="F829" s="17">
        <f>F830+F831+F832</f>
        <v>1515.31</v>
      </c>
      <c r="G829" s="17"/>
      <c r="H829" s="178">
        <f t="shared" si="87"/>
        <v>1515.31</v>
      </c>
      <c r="I829" s="17">
        <f>I830+I831+I832</f>
        <v>1515.31</v>
      </c>
      <c r="J829" s="169">
        <f>J830+J831+J832</f>
        <v>1515.31</v>
      </c>
      <c r="K829" s="129"/>
    </row>
    <row r="830" spans="1:11" ht="25.5" customHeight="1">
      <c r="A830" s="28" t="s">
        <v>104</v>
      </c>
      <c r="B830" s="15" t="s">
        <v>559</v>
      </c>
      <c r="C830" s="4" t="s">
        <v>42</v>
      </c>
      <c r="D830" s="17"/>
      <c r="E830" s="13">
        <f t="shared" si="88"/>
        <v>1155.23</v>
      </c>
      <c r="F830" s="17">
        <v>1155.23</v>
      </c>
      <c r="G830" s="17"/>
      <c r="H830" s="178">
        <f t="shared" si="87"/>
        <v>1155.23</v>
      </c>
      <c r="I830" s="17">
        <v>1155.23</v>
      </c>
      <c r="J830" s="169">
        <v>1155.23</v>
      </c>
      <c r="K830" s="181">
        <f>I830-J830</f>
        <v>0</v>
      </c>
    </row>
    <row r="831" spans="1:11" ht="17.25" customHeight="1">
      <c r="A831" s="28" t="s">
        <v>46</v>
      </c>
      <c r="B831" s="15" t="s">
        <v>559</v>
      </c>
      <c r="C831" s="4">
        <v>122</v>
      </c>
      <c r="D831" s="17"/>
      <c r="E831" s="13">
        <f t="shared" si="88"/>
        <v>11.2</v>
      </c>
      <c r="F831" s="17">
        <v>11.2</v>
      </c>
      <c r="G831" s="17"/>
      <c r="H831" s="178">
        <f t="shared" si="87"/>
        <v>11.2</v>
      </c>
      <c r="I831" s="17">
        <v>11.2</v>
      </c>
      <c r="J831" s="169">
        <v>11.2</v>
      </c>
      <c r="K831" s="181">
        <f>I831-J831</f>
        <v>0</v>
      </c>
    </row>
    <row r="832" spans="1:11" ht="17.25" customHeight="1">
      <c r="A832" s="28" t="s">
        <v>43</v>
      </c>
      <c r="B832" s="15" t="s">
        <v>559</v>
      </c>
      <c r="C832" s="4" t="s">
        <v>44</v>
      </c>
      <c r="D832" s="17"/>
      <c r="E832" s="13">
        <f t="shared" si="88"/>
        <v>348.88</v>
      </c>
      <c r="F832" s="17">
        <v>348.88</v>
      </c>
      <c r="G832" s="17"/>
      <c r="H832" s="178">
        <f t="shared" si="87"/>
        <v>348.88</v>
      </c>
      <c r="I832" s="17">
        <v>348.88</v>
      </c>
      <c r="J832" s="169">
        <v>348.88</v>
      </c>
      <c r="K832" s="181">
        <f>I832-J832</f>
        <v>0</v>
      </c>
    </row>
    <row r="833" spans="1:11" ht="15" customHeight="1">
      <c r="A833" s="28" t="s">
        <v>194</v>
      </c>
      <c r="B833" s="7" t="s">
        <v>506</v>
      </c>
      <c r="C833" s="7"/>
      <c r="D833" s="17"/>
      <c r="E833" s="13">
        <f t="shared" si="88"/>
        <v>3179.51</v>
      </c>
      <c r="F833" s="17">
        <f>F834</f>
        <v>3179.51</v>
      </c>
      <c r="G833" s="17"/>
      <c r="H833" s="178">
        <f t="shared" si="87"/>
        <v>3179.51</v>
      </c>
      <c r="I833" s="17">
        <f>I834</f>
        <v>3179.51</v>
      </c>
      <c r="J833" s="169">
        <f>J834</f>
        <v>3179.51</v>
      </c>
      <c r="K833" s="129"/>
    </row>
    <row r="834" spans="1:11" ht="15" customHeight="1">
      <c r="A834" s="28" t="s">
        <v>563</v>
      </c>
      <c r="B834" s="7" t="s">
        <v>505</v>
      </c>
      <c r="C834" s="7"/>
      <c r="D834" s="17"/>
      <c r="E834" s="13">
        <f t="shared" si="88"/>
        <v>3179.51</v>
      </c>
      <c r="F834" s="17">
        <f>F835</f>
        <v>3179.51</v>
      </c>
      <c r="G834" s="17"/>
      <c r="H834" s="178">
        <f t="shared" si="87"/>
        <v>3179.51</v>
      </c>
      <c r="I834" s="17">
        <f>I835</f>
        <v>3179.51</v>
      </c>
      <c r="J834" s="169">
        <f>J835</f>
        <v>3179.51</v>
      </c>
      <c r="K834" s="129"/>
    </row>
    <row r="835" spans="1:11" ht="15.75" customHeight="1">
      <c r="A835" s="30" t="s">
        <v>564</v>
      </c>
      <c r="B835" s="7" t="s">
        <v>560</v>
      </c>
      <c r="C835" s="7"/>
      <c r="D835" s="17"/>
      <c r="E835" s="13">
        <f t="shared" si="88"/>
        <v>3179.51</v>
      </c>
      <c r="F835" s="17">
        <f>SUM(F836:F838)</f>
        <v>3179.51</v>
      </c>
      <c r="G835" s="17"/>
      <c r="H835" s="178">
        <f t="shared" si="87"/>
        <v>3179.51</v>
      </c>
      <c r="I835" s="17">
        <f>SUM(I836:I838)</f>
        <v>3179.51</v>
      </c>
      <c r="J835" s="169">
        <f>SUM(J836:J838)</f>
        <v>3179.51</v>
      </c>
      <c r="K835" s="129"/>
    </row>
    <row r="836" spans="1:11" ht="25.5" customHeight="1">
      <c r="A836" s="28" t="s">
        <v>104</v>
      </c>
      <c r="B836" s="7" t="s">
        <v>560</v>
      </c>
      <c r="C836" s="4" t="s">
        <v>42</v>
      </c>
      <c r="D836" s="17"/>
      <c r="E836" s="13">
        <f t="shared" si="88"/>
        <v>2416.21</v>
      </c>
      <c r="F836" s="17">
        <v>2416.21</v>
      </c>
      <c r="G836" s="17"/>
      <c r="H836" s="178">
        <f t="shared" si="87"/>
        <v>2416.21</v>
      </c>
      <c r="I836" s="17">
        <v>2416.21</v>
      </c>
      <c r="J836" s="169">
        <v>2416.21</v>
      </c>
      <c r="K836" s="181">
        <f>I836-J836</f>
        <v>0</v>
      </c>
    </row>
    <row r="837" spans="1:11" ht="51" customHeight="1">
      <c r="A837" s="28" t="s">
        <v>105</v>
      </c>
      <c r="B837" s="7" t="s">
        <v>560</v>
      </c>
      <c r="C837" s="4">
        <v>122</v>
      </c>
      <c r="D837" s="17"/>
      <c r="E837" s="13">
        <f t="shared" si="88"/>
        <v>33.6</v>
      </c>
      <c r="F837" s="17">
        <v>33.6</v>
      </c>
      <c r="G837" s="17"/>
      <c r="H837" s="178">
        <f t="shared" si="87"/>
        <v>33.6</v>
      </c>
      <c r="I837" s="17">
        <v>33.6</v>
      </c>
      <c r="J837" s="169">
        <v>33.6</v>
      </c>
      <c r="K837" s="181">
        <f>I837-J837</f>
        <v>0</v>
      </c>
    </row>
    <row r="838" spans="1:11" ht="25.5" customHeight="1">
      <c r="A838" s="28" t="s">
        <v>43</v>
      </c>
      <c r="B838" s="7" t="s">
        <v>560</v>
      </c>
      <c r="C838" s="4" t="s">
        <v>44</v>
      </c>
      <c r="D838" s="17"/>
      <c r="E838" s="13">
        <f t="shared" si="88"/>
        <v>729.7</v>
      </c>
      <c r="F838" s="17">
        <v>729.7</v>
      </c>
      <c r="G838" s="17"/>
      <c r="H838" s="178">
        <f t="shared" si="87"/>
        <v>729.7</v>
      </c>
      <c r="I838" s="17">
        <v>729.7</v>
      </c>
      <c r="J838" s="169">
        <v>729.7</v>
      </c>
      <c r="K838" s="181">
        <f>I838-J838</f>
        <v>0</v>
      </c>
    </row>
    <row r="839" spans="1:11" ht="53.25" customHeight="1">
      <c r="A839" s="30" t="s">
        <v>441</v>
      </c>
      <c r="B839" s="15" t="s">
        <v>182</v>
      </c>
      <c r="C839" s="7"/>
      <c r="D839" s="17">
        <f>+D844+D848+D840</f>
        <v>7674.16</v>
      </c>
      <c r="E839" s="13">
        <f t="shared" ref="E839:E870" si="89">F839-D839</f>
        <v>-7674.16</v>
      </c>
      <c r="F839" s="17"/>
      <c r="G839" s="17">
        <f>+G844+G848+G840</f>
        <v>7674.16</v>
      </c>
      <c r="H839" s="178">
        <f t="shared" si="87"/>
        <v>-7674.16</v>
      </c>
      <c r="I839" s="180">
        <v>0</v>
      </c>
      <c r="J839" s="180">
        <v>0</v>
      </c>
      <c r="K839" s="129"/>
    </row>
    <row r="840" spans="1:11" ht="25.5" hidden="1" customHeight="1">
      <c r="A840" s="30" t="s">
        <v>439</v>
      </c>
      <c r="B840" s="7" t="s">
        <v>182</v>
      </c>
      <c r="C840" s="7"/>
      <c r="D840" s="17">
        <f>D841</f>
        <v>4295.76</v>
      </c>
      <c r="E840" s="13">
        <f t="shared" si="89"/>
        <v>-4295.76</v>
      </c>
      <c r="F840" s="17"/>
      <c r="G840" s="17">
        <f>G841</f>
        <v>4295.76</v>
      </c>
      <c r="H840" s="178">
        <f t="shared" si="87"/>
        <v>-4295.76</v>
      </c>
      <c r="I840" s="180">
        <v>0</v>
      </c>
      <c r="J840" s="180">
        <v>0</v>
      </c>
      <c r="K840" s="129"/>
    </row>
    <row r="841" spans="1:11" ht="36.75" customHeight="1">
      <c r="A841" s="30" t="s">
        <v>193</v>
      </c>
      <c r="B841" s="7" t="s">
        <v>182</v>
      </c>
      <c r="C841" s="4"/>
      <c r="D841" s="17">
        <f>D842</f>
        <v>4295.76</v>
      </c>
      <c r="E841" s="13">
        <f t="shared" si="89"/>
        <v>-4295.76</v>
      </c>
      <c r="F841" s="17"/>
      <c r="G841" s="17">
        <f>G842</f>
        <v>4295.76</v>
      </c>
      <c r="H841" s="178">
        <f t="shared" si="87"/>
        <v>-4295.76</v>
      </c>
      <c r="I841" s="180">
        <v>0</v>
      </c>
      <c r="J841" s="180">
        <v>0</v>
      </c>
      <c r="K841" s="129"/>
    </row>
    <row r="842" spans="1:11" ht="16.5" hidden="1" customHeight="1">
      <c r="A842" s="30" t="s">
        <v>193</v>
      </c>
      <c r="B842" s="7" t="s">
        <v>182</v>
      </c>
      <c r="C842" s="15"/>
      <c r="D842" s="17">
        <f>D843</f>
        <v>4295.76</v>
      </c>
      <c r="E842" s="13">
        <f t="shared" si="89"/>
        <v>-4295.76</v>
      </c>
      <c r="F842" s="17"/>
      <c r="G842" s="17">
        <f>G843</f>
        <v>4295.76</v>
      </c>
      <c r="H842" s="178">
        <f t="shared" ref="H842:H874" si="90">I842-G842</f>
        <v>-4295.76</v>
      </c>
      <c r="I842" s="180">
        <v>0</v>
      </c>
      <c r="J842" s="180">
        <v>0</v>
      </c>
      <c r="K842" s="129"/>
    </row>
    <row r="843" spans="1:11" ht="39.75" customHeight="1">
      <c r="A843" s="28" t="s">
        <v>187</v>
      </c>
      <c r="B843" s="15" t="s">
        <v>435</v>
      </c>
      <c r="C843" s="15"/>
      <c r="D843" s="17">
        <f>D844+D847</f>
        <v>4295.76</v>
      </c>
      <c r="E843" s="13">
        <f t="shared" si="89"/>
        <v>-4295.76</v>
      </c>
      <c r="F843" s="17"/>
      <c r="G843" s="17">
        <f>G844+G847</f>
        <v>4295.76</v>
      </c>
      <c r="H843" s="178">
        <f t="shared" si="90"/>
        <v>-4295.76</v>
      </c>
      <c r="I843" s="180">
        <v>0</v>
      </c>
      <c r="J843" s="180">
        <v>0</v>
      </c>
      <c r="K843" s="129"/>
    </row>
    <row r="844" spans="1:11" ht="16.5" customHeight="1">
      <c r="A844" s="28" t="s">
        <v>188</v>
      </c>
      <c r="B844" s="15" t="s">
        <v>436</v>
      </c>
      <c r="C844" s="15"/>
      <c r="D844" s="17">
        <f>SUBTOTAL(9,D845:D846)</f>
        <v>3378.4</v>
      </c>
      <c r="E844" s="13">
        <f t="shared" si="89"/>
        <v>-3378.4</v>
      </c>
      <c r="F844" s="17"/>
      <c r="G844" s="17">
        <f>SUBTOTAL(9,G845:G846)</f>
        <v>3378.4</v>
      </c>
      <c r="H844" s="178">
        <f t="shared" si="90"/>
        <v>-3378.4</v>
      </c>
      <c r="I844" s="180">
        <v>0</v>
      </c>
      <c r="J844" s="180">
        <v>0</v>
      </c>
      <c r="K844" s="129"/>
    </row>
    <row r="845" spans="1:11" ht="25.5" customHeight="1">
      <c r="A845" s="28" t="s">
        <v>104</v>
      </c>
      <c r="B845" s="15" t="s">
        <v>436</v>
      </c>
      <c r="C845" s="15" t="s">
        <v>42</v>
      </c>
      <c r="D845" s="17">
        <v>2594.8000000000002</v>
      </c>
      <c r="E845" s="13">
        <f t="shared" si="89"/>
        <v>-2594.8000000000002</v>
      </c>
      <c r="F845" s="17"/>
      <c r="G845" s="17">
        <v>2594.8000000000002</v>
      </c>
      <c r="H845" s="178">
        <f t="shared" si="90"/>
        <v>-2594.8000000000002</v>
      </c>
      <c r="I845" s="180">
        <v>0</v>
      </c>
      <c r="J845" s="180">
        <v>0</v>
      </c>
      <c r="K845" s="181">
        <f>I845-J845</f>
        <v>0</v>
      </c>
    </row>
    <row r="846" spans="1:11" ht="25.5" customHeight="1">
      <c r="A846" s="28" t="s">
        <v>43</v>
      </c>
      <c r="B846" s="15" t="s">
        <v>436</v>
      </c>
      <c r="C846" s="15" t="s">
        <v>44</v>
      </c>
      <c r="D846" s="17">
        <v>783.6</v>
      </c>
      <c r="E846" s="13">
        <f t="shared" si="89"/>
        <v>-783.6</v>
      </c>
      <c r="F846" s="17"/>
      <c r="G846" s="17">
        <v>783.6</v>
      </c>
      <c r="H846" s="178">
        <f t="shared" si="90"/>
        <v>-783.6</v>
      </c>
      <c r="I846" s="180">
        <v>0</v>
      </c>
      <c r="J846" s="180">
        <v>0</v>
      </c>
      <c r="K846" s="181">
        <f>I846-J846</f>
        <v>0</v>
      </c>
    </row>
    <row r="847" spans="1:11" ht="25.5" customHeight="1">
      <c r="A847" s="28" t="s">
        <v>189</v>
      </c>
      <c r="B847" s="15" t="s">
        <v>442</v>
      </c>
      <c r="C847" s="15"/>
      <c r="D847" s="17">
        <f>SUBTOTAL(9,D848:D853)</f>
        <v>917.36</v>
      </c>
      <c r="E847" s="13">
        <f t="shared" si="89"/>
        <v>-917.36</v>
      </c>
      <c r="F847" s="17"/>
      <c r="G847" s="17">
        <f>SUBTOTAL(9,G848:G853)</f>
        <v>917.36</v>
      </c>
      <c r="H847" s="178">
        <f t="shared" si="90"/>
        <v>-917.36</v>
      </c>
      <c r="I847" s="180">
        <v>0</v>
      </c>
      <c r="J847" s="180">
        <v>0</v>
      </c>
      <c r="K847" s="129"/>
    </row>
    <row r="848" spans="1:11" ht="31.5" customHeight="1">
      <c r="A848" s="28" t="s">
        <v>46</v>
      </c>
      <c r="B848" s="15" t="s">
        <v>442</v>
      </c>
      <c r="C848" s="4" t="s">
        <v>47</v>
      </c>
      <c r="D848" s="17"/>
      <c r="E848" s="13">
        <f t="shared" si="89"/>
        <v>0</v>
      </c>
      <c r="F848" s="17"/>
      <c r="G848" s="17"/>
      <c r="H848" s="178">
        <f t="shared" si="90"/>
        <v>0</v>
      </c>
      <c r="I848" s="180">
        <v>0</v>
      </c>
      <c r="J848" s="180">
        <v>0</v>
      </c>
      <c r="K848" s="181">
        <f t="shared" ref="K848:K853" si="91">I848-J848</f>
        <v>0</v>
      </c>
    </row>
    <row r="849" spans="1:11" ht="25.5" customHeight="1">
      <c r="A849" s="28" t="s">
        <v>190</v>
      </c>
      <c r="B849" s="15" t="s">
        <v>442</v>
      </c>
      <c r="C849" s="4" t="s">
        <v>191</v>
      </c>
      <c r="D849" s="17">
        <v>504</v>
      </c>
      <c r="E849" s="13">
        <f t="shared" si="89"/>
        <v>-504</v>
      </c>
      <c r="F849" s="17"/>
      <c r="G849" s="17">
        <v>504</v>
      </c>
      <c r="H849" s="178">
        <f t="shared" si="90"/>
        <v>-504</v>
      </c>
      <c r="I849" s="180">
        <v>0</v>
      </c>
      <c r="J849" s="180">
        <v>0</v>
      </c>
      <c r="K849" s="181">
        <f t="shared" si="91"/>
        <v>0</v>
      </c>
    </row>
    <row r="850" spans="1:11" ht="25.5" customHeight="1">
      <c r="A850" s="28" t="s">
        <v>19</v>
      </c>
      <c r="B850" s="15" t="s">
        <v>442</v>
      </c>
      <c r="C850" s="4">
        <v>244</v>
      </c>
      <c r="D850" s="17">
        <f>17.76+20+37.9+30+298.2</f>
        <v>403.86</v>
      </c>
      <c r="E850" s="13">
        <f t="shared" si="89"/>
        <v>-403.86</v>
      </c>
      <c r="F850" s="17"/>
      <c r="G850" s="17">
        <f>17.76+20+37.9+30+298.2</f>
        <v>403.86</v>
      </c>
      <c r="H850" s="178">
        <f t="shared" si="90"/>
        <v>-403.86</v>
      </c>
      <c r="I850" s="180">
        <v>0</v>
      </c>
      <c r="J850" s="180">
        <v>0</v>
      </c>
      <c r="K850" s="181">
        <f t="shared" si="91"/>
        <v>0</v>
      </c>
    </row>
    <row r="851" spans="1:11" ht="25.5" customHeight="1">
      <c r="A851" s="28" t="s">
        <v>30</v>
      </c>
      <c r="B851" s="15" t="s">
        <v>442</v>
      </c>
      <c r="C851" s="15" t="s">
        <v>31</v>
      </c>
      <c r="D851" s="17"/>
      <c r="E851" s="13">
        <f t="shared" si="89"/>
        <v>0</v>
      </c>
      <c r="F851" s="17"/>
      <c r="G851" s="17"/>
      <c r="H851" s="178">
        <f t="shared" si="90"/>
        <v>0</v>
      </c>
      <c r="I851" s="180">
        <v>0</v>
      </c>
      <c r="J851" s="180">
        <v>0</v>
      </c>
      <c r="K851" s="181">
        <f t="shared" si="91"/>
        <v>0</v>
      </c>
    </row>
    <row r="852" spans="1:11" ht="25.5" customHeight="1">
      <c r="A852" s="28" t="s">
        <v>32</v>
      </c>
      <c r="B852" s="15" t="s">
        <v>442</v>
      </c>
      <c r="C852" s="15" t="s">
        <v>33</v>
      </c>
      <c r="D852" s="17">
        <v>9.5</v>
      </c>
      <c r="E852" s="13">
        <f t="shared" si="89"/>
        <v>-9.5</v>
      </c>
      <c r="F852" s="17"/>
      <c r="G852" s="17">
        <v>9.5</v>
      </c>
      <c r="H852" s="178">
        <f t="shared" si="90"/>
        <v>-9.5</v>
      </c>
      <c r="I852" s="180">
        <v>0</v>
      </c>
      <c r="J852" s="180">
        <v>0</v>
      </c>
      <c r="K852" s="181">
        <f t="shared" si="91"/>
        <v>0</v>
      </c>
    </row>
    <row r="853" spans="1:11" ht="25.5" customHeight="1">
      <c r="A853" s="28" t="s">
        <v>21</v>
      </c>
      <c r="B853" s="15" t="s">
        <v>442</v>
      </c>
      <c r="C853" s="15" t="s">
        <v>22</v>
      </c>
      <c r="D853" s="17"/>
      <c r="E853" s="13">
        <f t="shared" si="89"/>
        <v>0</v>
      </c>
      <c r="F853" s="17"/>
      <c r="G853" s="17"/>
      <c r="H853" s="178">
        <f t="shared" si="90"/>
        <v>0</v>
      </c>
      <c r="I853" s="180">
        <v>0</v>
      </c>
      <c r="J853" s="180">
        <v>0</v>
      </c>
      <c r="K853" s="181">
        <f t="shared" si="91"/>
        <v>0</v>
      </c>
    </row>
    <row r="854" spans="1:11" ht="16.5" customHeight="1">
      <c r="A854" s="28" t="s">
        <v>183</v>
      </c>
      <c r="B854" s="15" t="s">
        <v>184</v>
      </c>
      <c r="C854" s="15"/>
      <c r="D854" s="17">
        <f>SUBTOTAL(9,D855:D857)</f>
        <v>2361.44</v>
      </c>
      <c r="E854" s="13">
        <f t="shared" si="89"/>
        <v>-2361.44</v>
      </c>
      <c r="F854" s="17"/>
      <c r="G854" s="17">
        <f>SUBTOTAL(9,G855:G857)</f>
        <v>2361.44</v>
      </c>
      <c r="H854" s="178">
        <f t="shared" si="90"/>
        <v>-2361.44</v>
      </c>
      <c r="I854" s="180">
        <v>0</v>
      </c>
      <c r="J854" s="180">
        <v>0</v>
      </c>
      <c r="K854" s="129"/>
    </row>
    <row r="855" spans="1:11" ht="41.25" customHeight="1">
      <c r="A855" s="28" t="s">
        <v>104</v>
      </c>
      <c r="B855" s="15" t="s">
        <v>184</v>
      </c>
      <c r="C855" s="4" t="s">
        <v>42</v>
      </c>
      <c r="D855" s="17">
        <v>1813.7</v>
      </c>
      <c r="E855" s="13">
        <f t="shared" si="89"/>
        <v>-1813.7</v>
      </c>
      <c r="F855" s="17"/>
      <c r="G855" s="17">
        <v>1813.7</v>
      </c>
      <c r="H855" s="178">
        <f t="shared" si="90"/>
        <v>-1813.7</v>
      </c>
      <c r="I855" s="180">
        <v>0</v>
      </c>
      <c r="J855" s="180">
        <v>0</v>
      </c>
      <c r="K855" s="181">
        <f>I855-J855</f>
        <v>0</v>
      </c>
    </row>
    <row r="856" spans="1:11" ht="25.5" customHeight="1">
      <c r="A856" s="28" t="s">
        <v>46</v>
      </c>
      <c r="B856" s="15" t="s">
        <v>184</v>
      </c>
      <c r="C856" s="4">
        <v>122</v>
      </c>
      <c r="D856" s="17"/>
      <c r="E856" s="13">
        <f t="shared" si="89"/>
        <v>0</v>
      </c>
      <c r="F856" s="17"/>
      <c r="G856" s="17"/>
      <c r="H856" s="178">
        <f t="shared" si="90"/>
        <v>0</v>
      </c>
      <c r="I856" s="180">
        <v>0</v>
      </c>
      <c r="J856" s="180">
        <v>0</v>
      </c>
      <c r="K856" s="181">
        <f>I856-J856</f>
        <v>0</v>
      </c>
    </row>
    <row r="857" spans="1:11" ht="25.5" customHeight="1">
      <c r="A857" s="28" t="s">
        <v>43</v>
      </c>
      <c r="B857" s="15" t="s">
        <v>184</v>
      </c>
      <c r="C857" s="4" t="s">
        <v>44</v>
      </c>
      <c r="D857" s="17">
        <v>547.74</v>
      </c>
      <c r="E857" s="13">
        <f t="shared" si="89"/>
        <v>-547.74</v>
      </c>
      <c r="F857" s="17"/>
      <c r="G857" s="17">
        <v>547.74</v>
      </c>
      <c r="H857" s="178">
        <f t="shared" si="90"/>
        <v>-547.74</v>
      </c>
      <c r="I857" s="180">
        <v>0</v>
      </c>
      <c r="J857" s="180">
        <v>0</v>
      </c>
      <c r="K857" s="181">
        <f>I857-J857</f>
        <v>0</v>
      </c>
    </row>
    <row r="858" spans="1:11" ht="15" customHeight="1">
      <c r="A858" s="28" t="s">
        <v>185</v>
      </c>
      <c r="B858" s="15" t="s">
        <v>186</v>
      </c>
      <c r="C858" s="15"/>
      <c r="D858" s="17">
        <f>SUBTOTAL(9,D859:D861)</f>
        <v>1432.0800000000002</v>
      </c>
      <c r="E858" s="13">
        <f t="shared" si="89"/>
        <v>-1432.0800000000002</v>
      </c>
      <c r="F858" s="17"/>
      <c r="G858" s="17">
        <f>SUBTOTAL(9,G859:G861)</f>
        <v>1432.0800000000002</v>
      </c>
      <c r="H858" s="178">
        <f t="shared" si="90"/>
        <v>-1432.0800000000002</v>
      </c>
      <c r="I858" s="180">
        <v>0</v>
      </c>
      <c r="J858" s="180">
        <v>0</v>
      </c>
      <c r="K858" s="129"/>
    </row>
    <row r="859" spans="1:11" ht="38.25" customHeight="1">
      <c r="A859" s="28" t="s">
        <v>104</v>
      </c>
      <c r="B859" s="15" t="s">
        <v>186</v>
      </c>
      <c r="C859" s="4" t="s">
        <v>42</v>
      </c>
      <c r="D859" s="17">
        <v>1099.9100000000001</v>
      </c>
      <c r="E859" s="13">
        <f t="shared" si="89"/>
        <v>-1099.9100000000001</v>
      </c>
      <c r="F859" s="17"/>
      <c r="G859" s="17">
        <v>1099.9100000000001</v>
      </c>
      <c r="H859" s="178">
        <f t="shared" si="90"/>
        <v>-1099.9100000000001</v>
      </c>
      <c r="I859" s="180">
        <v>0</v>
      </c>
      <c r="J859" s="180">
        <v>0</v>
      </c>
      <c r="K859" s="181">
        <f>I859-J859</f>
        <v>0</v>
      </c>
    </row>
    <row r="860" spans="1:11" ht="25.5" customHeight="1">
      <c r="A860" s="28" t="s">
        <v>46</v>
      </c>
      <c r="B860" s="15" t="s">
        <v>186</v>
      </c>
      <c r="C860" s="4">
        <v>122</v>
      </c>
      <c r="D860" s="17"/>
      <c r="E860" s="13">
        <f t="shared" si="89"/>
        <v>0</v>
      </c>
      <c r="F860" s="17"/>
      <c r="G860" s="17"/>
      <c r="H860" s="178">
        <f t="shared" si="90"/>
        <v>0</v>
      </c>
      <c r="I860" s="180">
        <v>0</v>
      </c>
      <c r="J860" s="180">
        <v>0</v>
      </c>
      <c r="K860" s="181">
        <f>I860-J860</f>
        <v>0</v>
      </c>
    </row>
    <row r="861" spans="1:11" ht="38.25" customHeight="1">
      <c r="A861" s="28" t="s">
        <v>276</v>
      </c>
      <c r="B861" s="15" t="s">
        <v>186</v>
      </c>
      <c r="C861" s="4" t="s">
        <v>44</v>
      </c>
      <c r="D861" s="17">
        <v>332.17</v>
      </c>
      <c r="E861" s="13">
        <f t="shared" si="89"/>
        <v>-332.17</v>
      </c>
      <c r="F861" s="17"/>
      <c r="G861" s="17">
        <v>332.17</v>
      </c>
      <c r="H861" s="178">
        <f t="shared" si="90"/>
        <v>-332.17</v>
      </c>
      <c r="I861" s="180">
        <v>0</v>
      </c>
      <c r="J861" s="180">
        <v>0</v>
      </c>
      <c r="K861" s="181">
        <f>I861-J861</f>
        <v>0</v>
      </c>
    </row>
    <row r="862" spans="1:11" ht="25.5" customHeight="1">
      <c r="A862" s="28" t="s">
        <v>204</v>
      </c>
      <c r="B862" s="15" t="s">
        <v>205</v>
      </c>
      <c r="C862" s="4"/>
      <c r="D862" s="17">
        <f>SUBTOTAL(9,D863:D866)</f>
        <v>118.6</v>
      </c>
      <c r="E862" s="13">
        <f t="shared" si="89"/>
        <v>-118.6</v>
      </c>
      <c r="F862" s="17"/>
      <c r="G862" s="17">
        <f>SUBTOTAL(9,G863:G866)</f>
        <v>118.6</v>
      </c>
      <c r="H862" s="178">
        <f t="shared" si="90"/>
        <v>-118.6</v>
      </c>
      <c r="I862" s="180">
        <v>0</v>
      </c>
      <c r="J862" s="180">
        <v>0</v>
      </c>
      <c r="K862" s="129"/>
    </row>
    <row r="863" spans="1:11" ht="32.25" customHeight="1">
      <c r="A863" s="28" t="s">
        <v>104</v>
      </c>
      <c r="B863" s="15" t="s">
        <v>205</v>
      </c>
      <c r="C863" s="15" t="s">
        <v>42</v>
      </c>
      <c r="D863" s="17">
        <v>95</v>
      </c>
      <c r="E863" s="13">
        <f t="shared" si="89"/>
        <v>-95</v>
      </c>
      <c r="F863" s="17"/>
      <c r="G863" s="17">
        <v>95</v>
      </c>
      <c r="H863" s="178">
        <f t="shared" si="90"/>
        <v>-95</v>
      </c>
      <c r="I863" s="180">
        <v>0</v>
      </c>
      <c r="J863" s="180">
        <v>0</v>
      </c>
      <c r="K863" s="181">
        <f>I863-J863</f>
        <v>0</v>
      </c>
    </row>
    <row r="864" spans="1:11" ht="32.25" customHeight="1">
      <c r="A864" s="28" t="s">
        <v>46</v>
      </c>
      <c r="B864" s="15" t="s">
        <v>205</v>
      </c>
      <c r="C864" s="15" t="s">
        <v>47</v>
      </c>
      <c r="D864" s="17"/>
      <c r="E864" s="13">
        <f t="shared" si="89"/>
        <v>0</v>
      </c>
      <c r="F864" s="17"/>
      <c r="G864" s="17"/>
      <c r="H864" s="178">
        <f t="shared" si="90"/>
        <v>0</v>
      </c>
      <c r="I864" s="180">
        <v>0</v>
      </c>
      <c r="J864" s="180">
        <v>0</v>
      </c>
      <c r="K864" s="181">
        <f>I864-J864</f>
        <v>0</v>
      </c>
    </row>
    <row r="865" spans="1:11" ht="25.5" customHeight="1">
      <c r="A865" s="28" t="s">
        <v>276</v>
      </c>
      <c r="B865" s="15" t="s">
        <v>205</v>
      </c>
      <c r="C865" s="15" t="s">
        <v>44</v>
      </c>
      <c r="D865" s="17">
        <f>28.7-5.1</f>
        <v>23.6</v>
      </c>
      <c r="E865" s="13">
        <f t="shared" si="89"/>
        <v>-23.6</v>
      </c>
      <c r="F865" s="17"/>
      <c r="G865" s="17">
        <f>28.7-5.1</f>
        <v>23.6</v>
      </c>
      <c r="H865" s="178">
        <f t="shared" si="90"/>
        <v>-23.6</v>
      </c>
      <c r="I865" s="180">
        <v>0</v>
      </c>
      <c r="J865" s="180">
        <v>0</v>
      </c>
      <c r="K865" s="181">
        <f>I865-J865</f>
        <v>0</v>
      </c>
    </row>
    <row r="866" spans="1:11" ht="60.75" customHeight="1">
      <c r="A866" s="28" t="s">
        <v>19</v>
      </c>
      <c r="B866" s="15" t="s">
        <v>205</v>
      </c>
      <c r="C866" s="15" t="s">
        <v>20</v>
      </c>
      <c r="D866" s="17"/>
      <c r="E866" s="13">
        <f t="shared" si="89"/>
        <v>0</v>
      </c>
      <c r="F866" s="17"/>
      <c r="G866" s="17"/>
      <c r="H866" s="178">
        <f t="shared" si="90"/>
        <v>0</v>
      </c>
      <c r="I866" s="180">
        <v>0</v>
      </c>
      <c r="J866" s="180">
        <v>0</v>
      </c>
      <c r="K866" s="181">
        <f>I866-J866</f>
        <v>0</v>
      </c>
    </row>
    <row r="867" spans="1:11" ht="38.25" customHeight="1">
      <c r="A867" s="28" t="s">
        <v>218</v>
      </c>
      <c r="B867" s="16" t="s">
        <v>219</v>
      </c>
      <c r="C867" s="15"/>
      <c r="D867" s="17">
        <f>SUBTOTAL(9,D868:D870)</f>
        <v>491.3</v>
      </c>
      <c r="E867" s="13">
        <f t="shared" si="89"/>
        <v>-491.3</v>
      </c>
      <c r="F867" s="17"/>
      <c r="G867" s="17">
        <f>SUBTOTAL(9,G868:G870)</f>
        <v>491.3</v>
      </c>
      <c r="H867" s="178">
        <f t="shared" si="90"/>
        <v>-491.3</v>
      </c>
      <c r="I867" s="180">
        <v>0</v>
      </c>
      <c r="J867" s="180">
        <v>0</v>
      </c>
      <c r="K867" s="129"/>
    </row>
    <row r="868" spans="1:11" ht="66.75" customHeight="1">
      <c r="A868" s="28" t="s">
        <v>104</v>
      </c>
      <c r="B868" s="16" t="s">
        <v>219</v>
      </c>
      <c r="C868" s="15" t="s">
        <v>42</v>
      </c>
      <c r="D868" s="17">
        <f>491.3-82</f>
        <v>409.3</v>
      </c>
      <c r="E868" s="13">
        <f t="shared" si="89"/>
        <v>-409.3</v>
      </c>
      <c r="F868" s="17"/>
      <c r="G868" s="17">
        <f>491.3-82</f>
        <v>409.3</v>
      </c>
      <c r="H868" s="178">
        <f t="shared" si="90"/>
        <v>-409.3</v>
      </c>
      <c r="I868" s="180">
        <v>0</v>
      </c>
      <c r="J868" s="180">
        <v>0</v>
      </c>
      <c r="K868" s="181">
        <f>I868-J868</f>
        <v>0</v>
      </c>
    </row>
    <row r="869" spans="1:11" ht="30.75" customHeight="1">
      <c r="A869" s="28" t="s">
        <v>276</v>
      </c>
      <c r="B869" s="16" t="s">
        <v>219</v>
      </c>
      <c r="C869" s="15" t="s">
        <v>44</v>
      </c>
      <c r="D869" s="17">
        <f>106.8-20.8-4</f>
        <v>82</v>
      </c>
      <c r="E869" s="13">
        <f t="shared" si="89"/>
        <v>-82</v>
      </c>
      <c r="F869" s="17"/>
      <c r="G869" s="17">
        <f>106.8-20.8-4</f>
        <v>82</v>
      </c>
      <c r="H869" s="178">
        <f t="shared" si="90"/>
        <v>-82</v>
      </c>
      <c r="I869" s="180">
        <v>0</v>
      </c>
      <c r="J869" s="180">
        <v>0</v>
      </c>
      <c r="K869" s="181">
        <f>I869-J869</f>
        <v>0</v>
      </c>
    </row>
    <row r="870" spans="1:11" ht="26.25" customHeight="1">
      <c r="A870" s="28" t="s">
        <v>19</v>
      </c>
      <c r="B870" s="16" t="s">
        <v>219</v>
      </c>
      <c r="C870" s="15" t="s">
        <v>20</v>
      </c>
      <c r="D870" s="17"/>
      <c r="E870" s="13">
        <f t="shared" si="89"/>
        <v>0</v>
      </c>
      <c r="F870" s="17"/>
      <c r="G870" s="17"/>
      <c r="H870" s="178">
        <f t="shared" si="90"/>
        <v>0</v>
      </c>
      <c r="I870" s="180">
        <v>0</v>
      </c>
      <c r="J870" s="180">
        <v>0</v>
      </c>
      <c r="K870" s="181">
        <f>I870-J870</f>
        <v>0</v>
      </c>
    </row>
    <row r="871" spans="1:11" ht="30.75" customHeight="1">
      <c r="A871" s="28" t="s">
        <v>194</v>
      </c>
      <c r="B871" s="15" t="s">
        <v>195</v>
      </c>
      <c r="C871" s="15"/>
      <c r="D871" s="17">
        <f>SUBTOTAL(9,D872:D874)</f>
        <v>2930.18</v>
      </c>
      <c r="E871" s="13">
        <f t="shared" ref="E871:E875" si="92">F871-D871</f>
        <v>-2930.18</v>
      </c>
      <c r="F871" s="17"/>
      <c r="G871" s="17">
        <f>SUBTOTAL(9,G872:G874)</f>
        <v>2930.18</v>
      </c>
      <c r="H871" s="178">
        <f t="shared" si="90"/>
        <v>-2930.18</v>
      </c>
      <c r="I871" s="180">
        <v>0</v>
      </c>
      <c r="J871" s="180">
        <v>0</v>
      </c>
      <c r="K871" s="129"/>
    </row>
    <row r="872" spans="1:11" ht="48.75" customHeight="1">
      <c r="A872" s="28" t="s">
        <v>104</v>
      </c>
      <c r="B872" s="15" t="s">
        <v>195</v>
      </c>
      <c r="C872" s="4" t="s">
        <v>42</v>
      </c>
      <c r="D872" s="17">
        <v>2317.5</v>
      </c>
      <c r="E872" s="13">
        <f t="shared" si="92"/>
        <v>-2317.5</v>
      </c>
      <c r="F872" s="17"/>
      <c r="G872" s="17">
        <v>2317.5</v>
      </c>
      <c r="H872" s="178">
        <f t="shared" si="90"/>
        <v>-2317.5</v>
      </c>
      <c r="I872" s="180">
        <v>0</v>
      </c>
      <c r="J872" s="180">
        <v>0</v>
      </c>
      <c r="K872" s="181">
        <f>I872-J872</f>
        <v>0</v>
      </c>
    </row>
    <row r="873" spans="1:11" ht="64.5" customHeight="1">
      <c r="A873" s="28" t="s">
        <v>105</v>
      </c>
      <c r="B873" s="15" t="s">
        <v>195</v>
      </c>
      <c r="C873" s="4">
        <v>122</v>
      </c>
      <c r="D873" s="17"/>
      <c r="E873" s="13">
        <f t="shared" si="92"/>
        <v>0</v>
      </c>
      <c r="F873" s="17"/>
      <c r="G873" s="17"/>
      <c r="H873" s="178">
        <f t="shared" si="90"/>
        <v>0</v>
      </c>
      <c r="I873" s="180">
        <v>0</v>
      </c>
      <c r="J873" s="180">
        <v>0</v>
      </c>
      <c r="K873" s="181">
        <f>I873-J873</f>
        <v>0</v>
      </c>
    </row>
    <row r="874" spans="1:11" ht="15" customHeight="1">
      <c r="A874" s="28" t="s">
        <v>43</v>
      </c>
      <c r="B874" s="15" t="s">
        <v>195</v>
      </c>
      <c r="C874" s="4" t="s">
        <v>44</v>
      </c>
      <c r="D874" s="17">
        <v>612.67999999999995</v>
      </c>
      <c r="E874" s="13">
        <f t="shared" si="92"/>
        <v>-612.67999999999995</v>
      </c>
      <c r="F874" s="17"/>
      <c r="G874" s="17">
        <v>612.67999999999995</v>
      </c>
      <c r="H874" s="178">
        <f t="shared" si="90"/>
        <v>-612.67999999999995</v>
      </c>
      <c r="I874" s="180">
        <v>0</v>
      </c>
      <c r="J874" s="180">
        <v>0</v>
      </c>
      <c r="K874" s="181">
        <f>I874-J874</f>
        <v>0</v>
      </c>
    </row>
    <row r="875" spans="1:11" s="47" customFormat="1" ht="15" customHeight="1">
      <c r="A875" s="57" t="s">
        <v>251</v>
      </c>
      <c r="B875" s="54"/>
      <c r="C875" s="54"/>
      <c r="D875" s="21" t="e">
        <f>#REF!+#REF!+#REF!+#REF!+#REF!+#REF!+D874</f>
        <v>#REF!</v>
      </c>
      <c r="E875" s="12" t="e">
        <f t="shared" si="92"/>
        <v>#REF!</v>
      </c>
      <c r="F875" s="21" t="e">
        <f>F874+#REF!+#REF!+#REF!+#REF!+#REF!+#REF!</f>
        <v>#REF!</v>
      </c>
      <c r="G875" s="21" t="e">
        <f>#REF!+#REF!+#REF!+#REF!+#REF!+#REF!+G874</f>
        <v>#REF!</v>
      </c>
      <c r="H875" s="178">
        <v>51070.22</v>
      </c>
      <c r="I875" s="17">
        <v>938753.62</v>
      </c>
      <c r="J875" s="169">
        <v>928820.53</v>
      </c>
    </row>
    <row r="876" spans="1:11" s="52" customFormat="1">
      <c r="A876" s="109"/>
      <c r="B876" s="110"/>
      <c r="C876" s="110"/>
      <c r="D876" s="51"/>
      <c r="E876" s="51"/>
      <c r="F876" s="51"/>
      <c r="G876" s="51"/>
      <c r="H876" s="170"/>
      <c r="I876" s="170"/>
      <c r="J876" s="171"/>
    </row>
    <row r="877" spans="1:11" s="52" customFormat="1">
      <c r="A877" s="109"/>
      <c r="B877" s="110"/>
      <c r="C877" s="110"/>
      <c r="D877" s="51"/>
      <c r="E877" s="51"/>
      <c r="F877" s="51"/>
      <c r="G877" s="51"/>
      <c r="H877" s="170"/>
      <c r="I877" s="170"/>
      <c r="J877" s="171"/>
    </row>
    <row r="878" spans="1:11" s="52" customFormat="1">
      <c r="A878" s="109"/>
      <c r="B878" s="110"/>
      <c r="C878" s="110"/>
      <c r="D878" s="51"/>
      <c r="E878" s="51"/>
      <c r="F878" s="51"/>
      <c r="G878" s="51"/>
      <c r="H878" s="170"/>
      <c r="I878" s="170"/>
      <c r="J878" s="171"/>
    </row>
    <row r="879" spans="1:11" s="52" customFormat="1">
      <c r="A879" s="109"/>
      <c r="B879" s="110"/>
      <c r="C879" s="110"/>
      <c r="D879" s="51"/>
      <c r="E879" s="137" t="s">
        <v>524</v>
      </c>
      <c r="F879" s="18">
        <v>119946.2</v>
      </c>
      <c r="G879" s="51"/>
      <c r="H879" s="170"/>
      <c r="I879" s="175">
        <v>11202.8</v>
      </c>
      <c r="J879" s="174">
        <v>11543.3</v>
      </c>
    </row>
    <row r="880" spans="1:11" s="52" customFormat="1">
      <c r="A880" s="109"/>
      <c r="B880" s="110"/>
      <c r="C880" s="110"/>
      <c r="D880" s="51"/>
      <c r="E880" s="137" t="s">
        <v>523</v>
      </c>
      <c r="F880" s="18">
        <v>502032.4</v>
      </c>
      <c r="G880" s="51"/>
      <c r="H880" s="170"/>
      <c r="I880" s="175">
        <v>442575</v>
      </c>
      <c r="J880" s="174">
        <v>428172.1</v>
      </c>
    </row>
    <row r="881" spans="1:11" s="52" customFormat="1">
      <c r="A881" s="109"/>
      <c r="B881" s="110"/>
      <c r="C881" s="110"/>
      <c r="D881" s="51"/>
      <c r="E881" s="137" t="s">
        <v>528</v>
      </c>
      <c r="F881" s="18">
        <v>11266.2</v>
      </c>
      <c r="G881" s="51"/>
      <c r="H881" s="170"/>
      <c r="I881" s="175">
        <v>0</v>
      </c>
      <c r="J881" s="174">
        <v>0</v>
      </c>
    </row>
    <row r="882" spans="1:11" s="52" customFormat="1">
      <c r="A882" s="109"/>
      <c r="B882" s="110"/>
      <c r="C882" s="110"/>
      <c r="D882" s="51"/>
      <c r="E882" s="137" t="s">
        <v>530</v>
      </c>
      <c r="F882" s="18">
        <v>385284.9</v>
      </c>
      <c r="G882" s="51"/>
      <c r="H882" s="170"/>
      <c r="I882" s="175">
        <v>308227.90000000002</v>
      </c>
      <c r="J882" s="175">
        <v>308227.90000000002</v>
      </c>
      <c r="K882" s="138"/>
    </row>
    <row r="883" spans="1:11" s="52" customFormat="1">
      <c r="A883" s="109"/>
      <c r="B883" s="110"/>
      <c r="C883" s="110"/>
      <c r="D883" s="51"/>
      <c r="E883" s="137" t="s">
        <v>531</v>
      </c>
      <c r="F883" s="18"/>
      <c r="G883" s="51"/>
      <c r="H883" s="170"/>
      <c r="I883" s="175"/>
      <c r="J883" s="174"/>
    </row>
    <row r="884" spans="1:11" s="52" customFormat="1">
      <c r="A884" s="109"/>
      <c r="B884" s="110"/>
      <c r="C884" s="110"/>
      <c r="D884" s="51"/>
      <c r="E884" s="137" t="s">
        <v>532</v>
      </c>
      <c r="F884" s="18">
        <v>174124.35</v>
      </c>
      <c r="G884" s="51"/>
      <c r="H884" s="170"/>
      <c r="I884" s="175">
        <v>176747.92</v>
      </c>
      <c r="J884" s="174">
        <v>180877.23</v>
      </c>
    </row>
    <row r="885" spans="1:11" s="52" customFormat="1">
      <c r="A885" s="109"/>
      <c r="B885" s="110"/>
      <c r="C885" s="110"/>
      <c r="D885" s="51"/>
      <c r="E885" s="137" t="s">
        <v>533</v>
      </c>
      <c r="F885" s="18">
        <f>SUM(F879:F884)</f>
        <v>1192654.05</v>
      </c>
      <c r="G885" s="51"/>
      <c r="H885" s="170"/>
      <c r="I885" s="175">
        <f t="shared" ref="I885:J885" si="93">SUM(I879:I884)</f>
        <v>938753.62</v>
      </c>
      <c r="J885" s="174">
        <f t="shared" si="93"/>
        <v>928820.53</v>
      </c>
    </row>
    <row r="886" spans="1:11" s="52" customFormat="1">
      <c r="A886" s="109"/>
      <c r="B886" s="110"/>
      <c r="C886" s="110"/>
      <c r="D886" s="51"/>
      <c r="E886" s="136" t="s">
        <v>534</v>
      </c>
      <c r="F886" s="51" t="e">
        <f>F875-F885</f>
        <v>#REF!</v>
      </c>
      <c r="G886" s="51"/>
      <c r="H886" s="170"/>
      <c r="I886" s="172">
        <f t="shared" ref="I886:J886" si="94">I875-I885</f>
        <v>0</v>
      </c>
      <c r="J886" s="171">
        <f t="shared" si="94"/>
        <v>0</v>
      </c>
    </row>
    <row r="887" spans="1:11" s="52" customFormat="1">
      <c r="A887" s="109"/>
      <c r="B887" s="110"/>
      <c r="C887" s="110"/>
      <c r="D887" s="51"/>
      <c r="E887" s="147"/>
      <c r="F887" s="51"/>
      <c r="G887" s="51"/>
      <c r="H887" s="170"/>
      <c r="I887" s="172"/>
      <c r="J887" s="171"/>
    </row>
    <row r="888" spans="1:11" s="52" customFormat="1">
      <c r="A888" s="109"/>
      <c r="B888" s="110"/>
      <c r="C888" s="110"/>
      <c r="D888" s="51"/>
      <c r="E888" s="51"/>
      <c r="F888" s="51"/>
      <c r="G888" s="51"/>
      <c r="H888" s="170"/>
      <c r="I888" s="172"/>
      <c r="J888" s="171"/>
    </row>
    <row r="889" spans="1:11" s="52" customFormat="1">
      <c r="A889" s="109"/>
      <c r="B889" s="110"/>
      <c r="C889" s="110"/>
      <c r="D889" s="51"/>
      <c r="E889" s="51"/>
      <c r="F889" s="51"/>
      <c r="G889" s="51"/>
      <c r="H889" s="170"/>
      <c r="I889" s="170"/>
      <c r="J889" s="171"/>
    </row>
    <row r="890" spans="1:11" s="52" customFormat="1">
      <c r="A890" s="109"/>
      <c r="B890" s="110"/>
      <c r="C890" s="110"/>
      <c r="D890" s="51"/>
      <c r="E890" s="51"/>
      <c r="F890" s="51"/>
      <c r="G890" s="51"/>
      <c r="H890" s="170"/>
      <c r="I890" s="170">
        <f>(I882+I884)*2.5%</f>
        <v>12124.395500000002</v>
      </c>
      <c r="J890" s="171">
        <f>(J882+J884)*5%</f>
        <v>24455.256500000003</v>
      </c>
    </row>
    <row r="891" spans="1:11" s="52" customFormat="1">
      <c r="A891" s="109"/>
      <c r="B891" s="110"/>
      <c r="C891" s="110"/>
      <c r="D891" s="51"/>
      <c r="E891" s="51"/>
      <c r="F891" s="51"/>
      <c r="G891" s="51"/>
      <c r="H891" s="170"/>
      <c r="I891" s="170"/>
      <c r="J891" s="171">
        <v>24456</v>
      </c>
    </row>
    <row r="892" spans="1:11" s="52" customFormat="1">
      <c r="A892" s="109"/>
      <c r="B892" s="110"/>
      <c r="C892" s="110"/>
      <c r="D892" s="136"/>
      <c r="E892" s="136"/>
      <c r="F892" s="51"/>
      <c r="G892" s="51"/>
      <c r="H892" s="170"/>
      <c r="I892" s="170"/>
      <c r="J892" s="171"/>
    </row>
    <row r="893" spans="1:11" s="52" customFormat="1">
      <c r="A893" s="109"/>
      <c r="B893" s="110"/>
      <c r="C893" s="110"/>
      <c r="D893" s="51"/>
      <c r="E893" s="51"/>
      <c r="F893" s="51"/>
      <c r="G893" s="51"/>
      <c r="H893" s="170"/>
      <c r="I893" s="170"/>
      <c r="J893" s="171"/>
    </row>
    <row r="894" spans="1:11" s="52" customFormat="1">
      <c r="A894" s="109"/>
      <c r="B894" s="110"/>
      <c r="C894" s="110"/>
      <c r="D894" s="51"/>
      <c r="E894" s="51"/>
      <c r="F894" s="51"/>
      <c r="G894" s="51"/>
      <c r="H894" s="170"/>
      <c r="I894" s="170"/>
      <c r="J894" s="171"/>
    </row>
    <row r="895" spans="1:11" s="52" customFormat="1">
      <c r="A895" s="109"/>
      <c r="B895" s="110"/>
      <c r="C895" s="110"/>
      <c r="D895" s="51"/>
      <c r="E895" s="51"/>
      <c r="F895" s="51"/>
      <c r="G895" s="51"/>
      <c r="H895" s="170"/>
      <c r="I895" s="170"/>
      <c r="J895" s="171"/>
    </row>
    <row r="896" spans="1:11" s="52" customFormat="1">
      <c r="A896" s="109"/>
      <c r="B896" s="110"/>
      <c r="C896" s="110"/>
      <c r="D896" s="51"/>
      <c r="E896" s="51"/>
      <c r="F896" s="51"/>
      <c r="G896" s="51"/>
      <c r="H896" s="170"/>
      <c r="I896" s="170"/>
      <c r="J896" s="171"/>
    </row>
    <row r="897" spans="1:10" s="52" customFormat="1">
      <c r="A897" s="109"/>
      <c r="B897" s="110"/>
      <c r="C897" s="110"/>
      <c r="D897" s="51"/>
      <c r="E897" s="51"/>
      <c r="F897" s="51"/>
      <c r="G897" s="51"/>
      <c r="H897" s="170"/>
      <c r="I897" s="170"/>
      <c r="J897" s="171"/>
    </row>
    <row r="898" spans="1:10" s="52" customFormat="1">
      <c r="A898" s="109"/>
      <c r="B898" s="110"/>
      <c r="C898" s="110"/>
      <c r="D898" s="51"/>
      <c r="E898" s="51"/>
      <c r="F898" s="51"/>
      <c r="G898" s="51"/>
      <c r="H898" s="170"/>
      <c r="I898" s="170"/>
      <c r="J898" s="171"/>
    </row>
    <row r="899" spans="1:10" s="52" customFormat="1">
      <c r="A899" s="109"/>
      <c r="B899" s="110"/>
      <c r="C899" s="110"/>
      <c r="D899" s="51"/>
      <c r="E899" s="51"/>
      <c r="F899" s="51"/>
      <c r="G899" s="51"/>
      <c r="H899" s="170"/>
      <c r="I899" s="170"/>
      <c r="J899" s="171"/>
    </row>
    <row r="900" spans="1:10" s="52" customFormat="1">
      <c r="A900" s="109"/>
      <c r="B900" s="110"/>
      <c r="C900" s="110"/>
      <c r="D900" s="51"/>
      <c r="E900" s="51"/>
      <c r="F900" s="51"/>
      <c r="G900" s="51"/>
      <c r="H900" s="170"/>
      <c r="I900" s="170"/>
      <c r="J900" s="171"/>
    </row>
    <row r="901" spans="1:10" s="52" customFormat="1">
      <c r="A901" s="109"/>
      <c r="B901" s="110"/>
      <c r="C901" s="110"/>
      <c r="D901" s="51"/>
      <c r="E901" s="51"/>
      <c r="F901" s="51"/>
      <c r="G901" s="51"/>
      <c r="H901" s="170"/>
      <c r="I901" s="170"/>
      <c r="J901" s="171"/>
    </row>
    <row r="902" spans="1:10" s="52" customFormat="1">
      <c r="A902" s="109"/>
      <c r="B902" s="110"/>
      <c r="C902" s="110"/>
      <c r="D902" s="51"/>
      <c r="E902" s="51"/>
      <c r="F902" s="51"/>
      <c r="G902" s="51"/>
      <c r="H902" s="170"/>
      <c r="I902" s="170"/>
      <c r="J902" s="171"/>
    </row>
    <row r="903" spans="1:10" s="52" customFormat="1">
      <c r="A903" s="109"/>
      <c r="B903" s="110"/>
      <c r="C903" s="110"/>
      <c r="D903" s="51"/>
      <c r="E903" s="51"/>
      <c r="F903" s="51"/>
      <c r="G903" s="51"/>
      <c r="H903" s="170"/>
      <c r="I903" s="170"/>
      <c r="J903" s="171"/>
    </row>
    <row r="904" spans="1:10" s="52" customFormat="1">
      <c r="A904" s="109"/>
      <c r="B904" s="110"/>
      <c r="C904" s="110"/>
      <c r="D904" s="51"/>
      <c r="E904" s="51"/>
      <c r="F904" s="51"/>
      <c r="G904" s="51"/>
      <c r="H904" s="170"/>
      <c r="I904" s="170"/>
      <c r="J904" s="171"/>
    </row>
    <row r="905" spans="1:10" s="52" customFormat="1">
      <c r="A905" s="109"/>
      <c r="B905" s="110"/>
      <c r="C905" s="110"/>
      <c r="D905" s="51"/>
      <c r="E905" s="51"/>
      <c r="F905" s="51"/>
      <c r="G905" s="51"/>
      <c r="H905" s="170"/>
      <c r="I905" s="170"/>
      <c r="J905" s="171"/>
    </row>
    <row r="906" spans="1:10" s="52" customFormat="1">
      <c r="A906" s="109"/>
      <c r="B906" s="110"/>
      <c r="C906" s="110"/>
      <c r="D906" s="51"/>
      <c r="E906" s="51"/>
      <c r="F906" s="51"/>
      <c r="G906" s="51"/>
      <c r="H906" s="170"/>
      <c r="I906" s="170"/>
      <c r="J906" s="171"/>
    </row>
    <row r="907" spans="1:10" s="52" customFormat="1">
      <c r="A907" s="109"/>
      <c r="B907" s="110"/>
      <c r="C907" s="110"/>
      <c r="D907" s="51"/>
      <c r="E907" s="51"/>
      <c r="F907" s="51"/>
      <c r="G907" s="51"/>
      <c r="H907" s="170"/>
      <c r="I907" s="170"/>
      <c r="J907" s="171"/>
    </row>
    <row r="908" spans="1:10" s="52" customFormat="1">
      <c r="A908" s="109"/>
      <c r="B908" s="110"/>
      <c r="C908" s="110"/>
      <c r="D908" s="51"/>
      <c r="E908" s="51"/>
      <c r="F908" s="51"/>
      <c r="G908" s="51"/>
      <c r="H908" s="170"/>
      <c r="I908" s="170"/>
      <c r="J908" s="171"/>
    </row>
    <row r="909" spans="1:10" s="52" customFormat="1">
      <c r="A909" s="109"/>
      <c r="B909" s="110"/>
      <c r="C909" s="110"/>
      <c r="D909" s="51"/>
      <c r="E909" s="51"/>
      <c r="F909" s="51"/>
      <c r="G909" s="51"/>
      <c r="H909" s="170"/>
      <c r="I909" s="170"/>
      <c r="J909" s="171"/>
    </row>
    <row r="910" spans="1:10" s="52" customFormat="1">
      <c r="A910" s="109"/>
      <c r="B910" s="110"/>
      <c r="C910" s="110"/>
      <c r="D910" s="51"/>
      <c r="E910" s="51"/>
      <c r="F910" s="51"/>
      <c r="G910" s="51"/>
      <c r="H910" s="170"/>
      <c r="I910" s="170"/>
      <c r="J910" s="171"/>
    </row>
    <row r="911" spans="1:10" s="52" customFormat="1">
      <c r="A911" s="109"/>
      <c r="B911" s="110"/>
      <c r="C911" s="110"/>
      <c r="D911" s="51"/>
      <c r="E911" s="51"/>
      <c r="F911" s="51"/>
      <c r="G911" s="51"/>
      <c r="H911" s="170"/>
      <c r="I911" s="170"/>
      <c r="J911" s="171"/>
    </row>
    <row r="912" spans="1:10" s="52" customFormat="1">
      <c r="A912" s="109"/>
      <c r="B912" s="110"/>
      <c r="C912" s="110"/>
      <c r="D912" s="51"/>
      <c r="E912" s="51"/>
      <c r="F912" s="51"/>
      <c r="G912" s="51"/>
      <c r="H912" s="170"/>
      <c r="I912" s="170"/>
      <c r="J912" s="171"/>
    </row>
    <row r="913" spans="1:10" s="52" customFormat="1">
      <c r="A913" s="109"/>
      <c r="B913" s="110"/>
      <c r="C913" s="110"/>
      <c r="D913" s="51"/>
      <c r="E913" s="51"/>
      <c r="F913" s="51"/>
      <c r="G913" s="51"/>
      <c r="H913" s="170"/>
      <c r="I913" s="170"/>
      <c r="J913" s="171"/>
    </row>
    <row r="914" spans="1:10" s="52" customFormat="1">
      <c r="A914" s="109"/>
      <c r="B914" s="110"/>
      <c r="C914" s="110"/>
      <c r="D914" s="51"/>
      <c r="E914" s="51"/>
      <c r="F914" s="51"/>
      <c r="G914" s="51"/>
      <c r="H914" s="170"/>
      <c r="I914" s="170"/>
      <c r="J914" s="171"/>
    </row>
  </sheetData>
  <autoFilter ref="A9:N875">
    <filterColumn colId="2"/>
    <filterColumn colId="10"/>
    <sortState ref="A10:N879">
      <sortCondition ref="B9:B879"/>
    </sortState>
  </autoFilter>
  <mergeCells count="18">
    <mergeCell ref="M7:M8"/>
    <mergeCell ref="N7:N8"/>
    <mergeCell ref="D7:D8"/>
    <mergeCell ref="E7:E8"/>
    <mergeCell ref="F7:F8"/>
    <mergeCell ref="G7:G8"/>
    <mergeCell ref="K7:K8"/>
    <mergeCell ref="L7:L8"/>
    <mergeCell ref="E1:F1"/>
    <mergeCell ref="H1:J1"/>
    <mergeCell ref="A4:J4"/>
    <mergeCell ref="A5:C5"/>
    <mergeCell ref="A6:A8"/>
    <mergeCell ref="B6:C6"/>
    <mergeCell ref="H6:H8"/>
    <mergeCell ref="I6:I8"/>
    <mergeCell ref="J6:J8"/>
    <mergeCell ref="B7:C7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918"/>
  <sheetViews>
    <sheetView view="pageBreakPreview" zoomScale="84" zoomScaleSheetLayoutView="84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7" sqref="B7:C7"/>
    </sheetView>
  </sheetViews>
  <sheetFormatPr defaultRowHeight="15"/>
  <cols>
    <col min="1" max="1" width="50.140625" style="111" customWidth="1"/>
    <col min="2" max="2" width="14.140625" style="112" customWidth="1"/>
    <col min="3" max="3" width="7.28515625" style="112" customWidth="1"/>
    <col min="4" max="4" width="15.7109375" style="51" hidden="1" customWidth="1"/>
    <col min="5" max="6" width="15.7109375" style="51" customWidth="1"/>
    <col min="7" max="7" width="18.140625" style="51" hidden="1" customWidth="1"/>
    <col min="8" max="8" width="19.140625" style="1" hidden="1" customWidth="1"/>
    <col min="9" max="9" width="15.42578125" style="126" hidden="1" customWidth="1"/>
    <col min="10" max="10" width="18" style="126" hidden="1" customWidth="1"/>
    <col min="11" max="11" width="10.5703125" style="1" customWidth="1"/>
    <col min="12" max="14" width="9.140625" style="1"/>
    <col min="15" max="15" width="2.7109375" style="1" customWidth="1"/>
    <col min="16" max="16" width="10.85546875" style="1" bestFit="1" customWidth="1"/>
    <col min="17" max="17" width="9.28515625" style="1" bestFit="1" customWidth="1"/>
    <col min="18" max="18" width="3.85546875" style="1" customWidth="1"/>
    <col min="19" max="19" width="11.85546875" style="1" customWidth="1"/>
    <col min="20" max="20" width="11.7109375" style="1" customWidth="1"/>
    <col min="21" max="16384" width="9.140625" style="1"/>
  </cols>
  <sheetData>
    <row r="1" spans="1:20" s="52" customFormat="1" ht="69.75" customHeight="1">
      <c r="A1" s="29"/>
      <c r="B1" s="185" t="s">
        <v>645</v>
      </c>
      <c r="C1" s="185"/>
      <c r="D1" s="185"/>
      <c r="E1" s="185"/>
      <c r="F1" s="185"/>
      <c r="G1" s="151"/>
      <c r="I1" s="125"/>
      <c r="J1" s="125"/>
    </row>
    <row r="2" spans="1:20" s="52" customFormat="1" ht="2.25" customHeight="1">
      <c r="A2" s="29"/>
      <c r="B2" s="3"/>
      <c r="C2" s="3"/>
      <c r="D2" s="151"/>
      <c r="E2" s="151"/>
      <c r="F2" s="151"/>
      <c r="G2" s="151"/>
      <c r="I2" s="125"/>
      <c r="J2" s="125"/>
    </row>
    <row r="3" spans="1:20" s="52" customFormat="1" ht="10.5" hidden="1" customHeight="1">
      <c r="A3" s="29"/>
      <c r="B3" s="3"/>
      <c r="C3" s="3"/>
      <c r="D3" s="156"/>
      <c r="E3" s="156"/>
      <c r="F3" s="134"/>
      <c r="G3" s="134"/>
      <c r="I3" s="133"/>
      <c r="J3" s="133"/>
      <c r="L3" s="138">
        <f>L4-L5</f>
        <v>-38.629797979798013</v>
      </c>
    </row>
    <row r="4" spans="1:20" s="52" customFormat="1" ht="57.75" customHeight="1">
      <c r="A4" s="186" t="s">
        <v>644</v>
      </c>
      <c r="B4" s="186"/>
      <c r="C4" s="186"/>
      <c r="D4" s="186"/>
      <c r="E4" s="186"/>
      <c r="F4" s="186"/>
      <c r="G4" s="186"/>
      <c r="I4" s="133"/>
      <c r="J4" s="125"/>
      <c r="L4" s="52">
        <v>1136.6500000000001</v>
      </c>
    </row>
    <row r="5" spans="1:20" s="52" customFormat="1" ht="10.5" customHeight="1">
      <c r="A5" s="187"/>
      <c r="B5" s="187"/>
      <c r="C5" s="187"/>
      <c r="D5" s="157"/>
      <c r="E5" s="157"/>
      <c r="F5" s="160"/>
      <c r="G5" s="67" t="s">
        <v>467</v>
      </c>
      <c r="I5" s="130" t="e">
        <f>SUBTOTAL(109,I10:I878)</f>
        <v>#REF!</v>
      </c>
      <c r="J5" s="130" t="e">
        <f>SUBTOTAL(109,J10:J878)</f>
        <v>#REF!</v>
      </c>
      <c r="L5" s="130">
        <f>SUBTOTAL(109,L10:L878)</f>
        <v>1175.2797979797981</v>
      </c>
      <c r="M5" s="130">
        <f>SUBTOTAL(109,M10:M878)</f>
        <v>70.043434343434342</v>
      </c>
      <c r="N5" s="130">
        <f>SUBTOTAL(109,N10:N878)</f>
        <v>70.02121212121213</v>
      </c>
    </row>
    <row r="6" spans="1:20" ht="15" customHeight="1">
      <c r="A6" s="188" t="s">
        <v>0</v>
      </c>
      <c r="B6" s="189"/>
      <c r="C6" s="189"/>
      <c r="D6" s="64"/>
      <c r="E6" s="192" t="s">
        <v>1</v>
      </c>
      <c r="F6" s="192" t="s">
        <v>463</v>
      </c>
      <c r="G6" s="64"/>
    </row>
    <row r="7" spans="1:20" ht="41.25" customHeight="1">
      <c r="A7" s="188"/>
      <c r="B7" s="198" t="s">
        <v>468</v>
      </c>
      <c r="C7" s="199"/>
      <c r="D7" s="190" t="s">
        <v>463</v>
      </c>
      <c r="E7" s="200"/>
      <c r="F7" s="200"/>
      <c r="G7" s="192" t="s">
        <v>464</v>
      </c>
      <c r="H7" s="196" t="s">
        <v>1</v>
      </c>
      <c r="I7" s="196" t="s">
        <v>514</v>
      </c>
      <c r="J7" s="192" t="s">
        <v>513</v>
      </c>
      <c r="K7" s="192"/>
      <c r="L7" s="192" t="s">
        <v>515</v>
      </c>
      <c r="M7" s="192" t="s">
        <v>516</v>
      </c>
      <c r="N7" s="192" t="s">
        <v>517</v>
      </c>
    </row>
    <row r="8" spans="1:20" ht="33" customHeight="1">
      <c r="A8" s="188"/>
      <c r="B8" s="4" t="s">
        <v>2</v>
      </c>
      <c r="C8" s="5" t="s">
        <v>3</v>
      </c>
      <c r="D8" s="190"/>
      <c r="E8" s="193"/>
      <c r="F8" s="193"/>
      <c r="G8" s="193"/>
      <c r="H8" s="197"/>
      <c r="I8" s="197"/>
      <c r="J8" s="193"/>
      <c r="K8" s="193"/>
      <c r="L8" s="193"/>
      <c r="M8" s="193"/>
      <c r="N8" s="193"/>
    </row>
    <row r="9" spans="1:20" ht="23.25" customHeight="1">
      <c r="A9" s="6">
        <v>1</v>
      </c>
      <c r="B9" s="7">
        <v>5</v>
      </c>
      <c r="C9" s="7">
        <v>6</v>
      </c>
      <c r="D9" s="9">
        <v>8</v>
      </c>
      <c r="E9" s="9">
        <v>9</v>
      </c>
      <c r="F9" s="9">
        <v>10</v>
      </c>
      <c r="G9" s="9"/>
      <c r="H9" s="124"/>
      <c r="I9" s="124"/>
      <c r="J9" s="124"/>
    </row>
    <row r="10" spans="1:20" ht="25.5" hidden="1" customHeight="1">
      <c r="A10" s="30" t="s">
        <v>309</v>
      </c>
      <c r="B10" s="7" t="s">
        <v>311</v>
      </c>
      <c r="C10" s="11"/>
      <c r="D10" s="17">
        <f>D11</f>
        <v>0</v>
      </c>
      <c r="E10" s="13">
        <f t="shared" ref="E10:E41" si="0">F10-D10</f>
        <v>0</v>
      </c>
      <c r="F10" s="17">
        <f>F11</f>
        <v>0</v>
      </c>
      <c r="G10" s="12">
        <f>G11+G24</f>
        <v>65272.159999999989</v>
      </c>
      <c r="H10" s="120"/>
      <c r="I10" s="103">
        <f t="shared" ref="I10:J10" si="1">I11+I24</f>
        <v>69826.489999999991</v>
      </c>
      <c r="J10" s="103">
        <f t="shared" si="1"/>
        <v>71430.59</v>
      </c>
      <c r="P10" s="139">
        <f>F18+F31+F32+F33+F34+F35+F36+F38+F51+F55+F56+F57+F58+F59+F76+F77+F78+F79+F80+F91+F92</f>
        <v>37324.9</v>
      </c>
      <c r="Q10" s="139">
        <f>F10-P10</f>
        <v>-37324.9</v>
      </c>
      <c r="R10" s="139"/>
      <c r="S10" s="139">
        <f t="shared" ref="S10:T10" si="2">I18+I31+I32+I33+I34+I35+I36+I38+I51+I55+I56+I57+I58+I59+I76+I77+I78+I79+I80+I91+I92</f>
        <v>69826.490000000005</v>
      </c>
      <c r="T10" s="139">
        <f t="shared" si="2"/>
        <v>71430.590000000011</v>
      </c>
    </row>
    <row r="11" spans="1:20" s="47" customFormat="1" ht="15" hidden="1" customHeight="1">
      <c r="A11" s="30" t="s">
        <v>309</v>
      </c>
      <c r="B11" s="15" t="s">
        <v>311</v>
      </c>
      <c r="C11" s="4"/>
      <c r="D11" s="21"/>
      <c r="E11" s="13">
        <f t="shared" si="0"/>
        <v>0</v>
      </c>
      <c r="F11" s="17">
        <f>F12</f>
        <v>0</v>
      </c>
      <c r="G11" s="12">
        <f>G12</f>
        <v>13207.259999999998</v>
      </c>
      <c r="H11" s="121"/>
      <c r="I11" s="103">
        <f t="shared" ref="I11:J17" si="3">I12</f>
        <v>13951.71</v>
      </c>
      <c r="J11" s="103">
        <f t="shared" si="3"/>
        <v>13951.71</v>
      </c>
      <c r="S11" s="155">
        <f>I10-S10</f>
        <v>0</v>
      </c>
      <c r="T11" s="155">
        <f>J10-T10</f>
        <v>0</v>
      </c>
    </row>
    <row r="12" spans="1:20" s="47" customFormat="1" ht="15" hidden="1" customHeight="1">
      <c r="A12" s="30" t="s">
        <v>309</v>
      </c>
      <c r="B12" s="7" t="s">
        <v>311</v>
      </c>
      <c r="C12" s="7"/>
      <c r="D12" s="17">
        <f>D28</f>
        <v>0</v>
      </c>
      <c r="E12" s="13">
        <f t="shared" si="0"/>
        <v>0</v>
      </c>
      <c r="F12" s="17">
        <f>F13</f>
        <v>0</v>
      </c>
      <c r="G12" s="12">
        <f>G15</f>
        <v>13207.259999999998</v>
      </c>
      <c r="H12" s="121"/>
      <c r="I12" s="103">
        <f t="shared" si="3"/>
        <v>13951.71</v>
      </c>
      <c r="J12" s="103">
        <f t="shared" si="3"/>
        <v>13951.71</v>
      </c>
    </row>
    <row r="13" spans="1:20" ht="25.5" hidden="1" customHeight="1">
      <c r="A13" s="30" t="s">
        <v>309</v>
      </c>
      <c r="B13" s="7" t="s">
        <v>311</v>
      </c>
      <c r="C13" s="7"/>
      <c r="D13" s="17">
        <f>D20</f>
        <v>0</v>
      </c>
      <c r="E13" s="13">
        <f t="shared" si="0"/>
        <v>0</v>
      </c>
      <c r="F13" s="17">
        <v>0</v>
      </c>
      <c r="G13" s="13">
        <f t="shared" ref="G13:G14" si="4">G14</f>
        <v>13207.259999999998</v>
      </c>
      <c r="H13" s="120"/>
      <c r="I13" s="104">
        <f t="shared" si="3"/>
        <v>13951.71</v>
      </c>
      <c r="J13" s="104">
        <f t="shared" si="3"/>
        <v>13951.71</v>
      </c>
    </row>
    <row r="14" spans="1:20" ht="25.5" hidden="1" customHeight="1">
      <c r="A14" s="30" t="s">
        <v>309</v>
      </c>
      <c r="B14" s="7" t="s">
        <v>311</v>
      </c>
      <c r="C14" s="4"/>
      <c r="D14" s="17">
        <f>D20</f>
        <v>0</v>
      </c>
      <c r="E14" s="13">
        <f t="shared" si="0"/>
        <v>5070.8899999999994</v>
      </c>
      <c r="F14" s="17">
        <f>F15+F32+F50+F54</f>
        <v>5070.8899999999994</v>
      </c>
      <c r="G14" s="13">
        <f t="shared" si="4"/>
        <v>13207.259999999998</v>
      </c>
      <c r="H14" s="120"/>
      <c r="I14" s="104">
        <f t="shared" si="3"/>
        <v>13951.71</v>
      </c>
      <c r="J14" s="104">
        <f t="shared" si="3"/>
        <v>13951.71</v>
      </c>
    </row>
    <row r="15" spans="1:20" ht="25.5" hidden="1" customHeight="1">
      <c r="A15" s="30" t="s">
        <v>309</v>
      </c>
      <c r="B15" s="7" t="s">
        <v>311</v>
      </c>
      <c r="C15" s="4"/>
      <c r="D15" s="17">
        <f>D16</f>
        <v>0</v>
      </c>
      <c r="E15" s="13">
        <f t="shared" si="0"/>
        <v>0</v>
      </c>
      <c r="F15" s="17">
        <v>0</v>
      </c>
      <c r="G15" s="13">
        <f>G17</f>
        <v>13207.259999999998</v>
      </c>
      <c r="H15" s="120"/>
      <c r="I15" s="104">
        <f t="shared" si="3"/>
        <v>13951.71</v>
      </c>
      <c r="J15" s="104">
        <f t="shared" si="3"/>
        <v>13951.71</v>
      </c>
    </row>
    <row r="16" spans="1:20" ht="25.5" hidden="1" customHeight="1">
      <c r="A16" s="30" t="s">
        <v>309</v>
      </c>
      <c r="B16" s="7" t="s">
        <v>311</v>
      </c>
      <c r="C16" s="7"/>
      <c r="D16" s="17">
        <f>D17</f>
        <v>0</v>
      </c>
      <c r="E16" s="13">
        <f t="shared" si="0"/>
        <v>27453.93</v>
      </c>
      <c r="F16" s="17">
        <f>F17</f>
        <v>27453.93</v>
      </c>
      <c r="G16" s="13"/>
      <c r="H16" s="120"/>
      <c r="I16" s="104">
        <f t="shared" si="3"/>
        <v>13951.71</v>
      </c>
      <c r="J16" s="104">
        <f t="shared" si="3"/>
        <v>13951.71</v>
      </c>
    </row>
    <row r="17" spans="1:11" ht="28.5" hidden="1" customHeight="1">
      <c r="A17" s="30" t="s">
        <v>309</v>
      </c>
      <c r="B17" s="7" t="s">
        <v>311</v>
      </c>
      <c r="C17" s="7"/>
      <c r="D17" s="17">
        <f>D18</f>
        <v>0</v>
      </c>
      <c r="E17" s="13">
        <f t="shared" si="0"/>
        <v>27453.93</v>
      </c>
      <c r="F17" s="17">
        <f>F18</f>
        <v>27453.93</v>
      </c>
      <c r="G17" s="13">
        <f>G19+G22</f>
        <v>13207.259999999998</v>
      </c>
      <c r="H17" s="120"/>
      <c r="I17" s="104">
        <f t="shared" si="3"/>
        <v>13951.71</v>
      </c>
      <c r="J17" s="104">
        <f t="shared" si="3"/>
        <v>13951.71</v>
      </c>
    </row>
    <row r="18" spans="1:11" ht="46.5" customHeight="1">
      <c r="A18" s="28" t="s">
        <v>611</v>
      </c>
      <c r="B18" s="15" t="s">
        <v>606</v>
      </c>
      <c r="C18" s="4"/>
      <c r="D18" s="21"/>
      <c r="E18" s="13">
        <f t="shared" si="0"/>
        <v>27453.93</v>
      </c>
      <c r="F18" s="17">
        <f>F19</f>
        <v>27453.93</v>
      </c>
      <c r="G18" s="13"/>
      <c r="H18" s="120"/>
      <c r="I18" s="100">
        <v>13951.71</v>
      </c>
      <c r="J18" s="100">
        <v>13951.71</v>
      </c>
      <c r="K18" s="139">
        <f>F18-I18</f>
        <v>13502.220000000001</v>
      </c>
    </row>
    <row r="19" spans="1:11" ht="28.5" customHeight="1">
      <c r="A19" s="30" t="s">
        <v>313</v>
      </c>
      <c r="B19" s="7" t="s">
        <v>606</v>
      </c>
      <c r="C19" s="7"/>
      <c r="D19" s="17"/>
      <c r="E19" s="13">
        <f t="shared" si="0"/>
        <v>27453.93</v>
      </c>
      <c r="F19" s="17">
        <f>F20+F29</f>
        <v>27453.93</v>
      </c>
      <c r="G19" s="13">
        <f>G20+G21</f>
        <v>0</v>
      </c>
      <c r="H19" s="120"/>
      <c r="I19" s="124"/>
      <c r="J19" s="124"/>
    </row>
    <row r="20" spans="1:11" ht="16.5" customHeight="1">
      <c r="A20" s="30" t="s">
        <v>313</v>
      </c>
      <c r="B20" s="7" t="s">
        <v>606</v>
      </c>
      <c r="C20" s="15"/>
      <c r="D20" s="17"/>
      <c r="E20" s="13">
        <f t="shared" si="0"/>
        <v>3897.1700000000005</v>
      </c>
      <c r="F20" s="17">
        <f>F21</f>
        <v>3897.1700000000005</v>
      </c>
      <c r="G20" s="13"/>
      <c r="H20" s="120"/>
      <c r="I20" s="124"/>
      <c r="J20" s="124"/>
    </row>
    <row r="21" spans="1:11" ht="19.5" customHeight="1">
      <c r="A21" s="28" t="s">
        <v>612</v>
      </c>
      <c r="B21" s="15" t="s">
        <v>607</v>
      </c>
      <c r="C21" s="4"/>
      <c r="D21" s="21"/>
      <c r="E21" s="13">
        <f t="shared" si="0"/>
        <v>3897.1700000000005</v>
      </c>
      <c r="F21" s="17">
        <f>F22</f>
        <v>3897.1700000000005</v>
      </c>
      <c r="G21" s="13"/>
      <c r="H21" s="120"/>
      <c r="I21" s="124"/>
      <c r="J21" s="124"/>
    </row>
    <row r="22" spans="1:11" ht="21.75" customHeight="1">
      <c r="A22" s="28" t="s">
        <v>612</v>
      </c>
      <c r="B22" s="7" t="s">
        <v>607</v>
      </c>
      <c r="C22" s="7"/>
      <c r="D22" s="17"/>
      <c r="E22" s="13">
        <f t="shared" si="0"/>
        <v>3897.1700000000005</v>
      </c>
      <c r="F22" s="17">
        <f>F23</f>
        <v>3897.1700000000005</v>
      </c>
      <c r="G22" s="13">
        <f>SUM(G23:G23)</f>
        <v>13207.259999999998</v>
      </c>
      <c r="H22" s="120"/>
      <c r="I22" s="124"/>
      <c r="J22" s="124"/>
    </row>
    <row r="23" spans="1:11" ht="51.75" customHeight="1">
      <c r="A23" s="28" t="s">
        <v>562</v>
      </c>
      <c r="B23" s="15" t="s">
        <v>608</v>
      </c>
      <c r="C23" s="4"/>
      <c r="D23" s="21"/>
      <c r="E23" s="13">
        <f t="shared" si="0"/>
        <v>3897.1700000000005</v>
      </c>
      <c r="F23" s="17">
        <f>SUM(F24:F28)</f>
        <v>3897.1700000000005</v>
      </c>
      <c r="G23" s="13">
        <f>11388.15+33.4+1429.21+332+24.5</f>
        <v>13207.259999999998</v>
      </c>
      <c r="H23" s="120"/>
      <c r="I23" s="124"/>
      <c r="J23" s="124"/>
    </row>
    <row r="24" spans="1:11" s="47" customFormat="1" ht="15" customHeight="1">
      <c r="A24" s="28" t="s">
        <v>104</v>
      </c>
      <c r="B24" s="15" t="s">
        <v>608</v>
      </c>
      <c r="C24" s="4" t="s">
        <v>42</v>
      </c>
      <c r="D24" s="21"/>
      <c r="E24" s="13">
        <f t="shared" si="0"/>
        <v>2414.2799999999997</v>
      </c>
      <c r="F24" s="17">
        <f>2748.81-334.53</f>
        <v>2414.2799999999997</v>
      </c>
      <c r="G24" s="12">
        <f>G25+G70</f>
        <v>52064.899999999994</v>
      </c>
      <c r="H24" s="121"/>
      <c r="I24" s="103">
        <f t="shared" ref="I24:J24" si="5">I25+I70</f>
        <v>55874.78</v>
      </c>
      <c r="J24" s="103">
        <f t="shared" si="5"/>
        <v>57478.87999999999</v>
      </c>
    </row>
    <row r="25" spans="1:11" s="47" customFormat="1" ht="15" customHeight="1">
      <c r="A25" s="28" t="s">
        <v>46</v>
      </c>
      <c r="B25" s="15" t="s">
        <v>608</v>
      </c>
      <c r="C25" s="4">
        <v>122</v>
      </c>
      <c r="D25" s="21"/>
      <c r="E25" s="13">
        <f t="shared" si="0"/>
        <v>588</v>
      </c>
      <c r="F25" s="17">
        <f>588</f>
        <v>588</v>
      </c>
      <c r="G25" s="12">
        <f>G26</f>
        <v>50536.7</v>
      </c>
      <c r="H25" s="121"/>
      <c r="I25" s="101">
        <f t="shared" ref="I25:J26" si="6">I26</f>
        <v>54663.729999999996</v>
      </c>
      <c r="J25" s="101">
        <f t="shared" si="6"/>
        <v>56251.609999999993</v>
      </c>
    </row>
    <row r="26" spans="1:11" ht="25.5" customHeight="1">
      <c r="A26" s="28" t="s">
        <v>43</v>
      </c>
      <c r="B26" s="15" t="s">
        <v>608</v>
      </c>
      <c r="C26" s="4" t="s">
        <v>44</v>
      </c>
      <c r="D26" s="21"/>
      <c r="E26" s="13">
        <f t="shared" si="0"/>
        <v>729.11</v>
      </c>
      <c r="F26" s="17">
        <f>830.14-101.03</f>
        <v>729.11</v>
      </c>
      <c r="G26" s="13">
        <f>G27</f>
        <v>50536.7</v>
      </c>
      <c r="H26" s="120"/>
      <c r="I26" s="104">
        <f t="shared" si="6"/>
        <v>54663.729999999996</v>
      </c>
      <c r="J26" s="104">
        <f t="shared" si="6"/>
        <v>56251.609999999993</v>
      </c>
    </row>
    <row r="27" spans="1:11" ht="15" customHeight="1">
      <c r="A27" s="161" t="s">
        <v>491</v>
      </c>
      <c r="B27" s="15" t="s">
        <v>608</v>
      </c>
      <c r="C27" s="4" t="s">
        <v>20</v>
      </c>
      <c r="D27" s="21"/>
      <c r="E27" s="13">
        <f t="shared" si="0"/>
        <v>158.65000000000043</v>
      </c>
      <c r="F27" s="17">
        <f>4316.51-4166.95-7.13+8.11+8.11</f>
        <v>158.65000000000043</v>
      </c>
      <c r="G27" s="13">
        <f>G28+G52</f>
        <v>50536.7</v>
      </c>
      <c r="H27" s="120"/>
      <c r="I27" s="104">
        <f t="shared" ref="I27:J27" si="7">I28+I53</f>
        <v>54663.729999999996</v>
      </c>
      <c r="J27" s="104">
        <f t="shared" si="7"/>
        <v>56251.609999999993</v>
      </c>
    </row>
    <row r="28" spans="1:11" ht="25.5" customHeight="1">
      <c r="A28" s="28" t="s">
        <v>30</v>
      </c>
      <c r="B28" s="15" t="s">
        <v>608</v>
      </c>
      <c r="C28" s="4" t="s">
        <v>31</v>
      </c>
      <c r="D28" s="21"/>
      <c r="E28" s="13">
        <f t="shared" si="0"/>
        <v>7.13</v>
      </c>
      <c r="F28" s="17">
        <v>7.13</v>
      </c>
      <c r="G28" s="13">
        <f>G29+G50</f>
        <v>35678.46</v>
      </c>
      <c r="H28" s="120"/>
      <c r="I28" s="104">
        <f t="shared" ref="I28:J28" si="8">I29+I50</f>
        <v>40174.9</v>
      </c>
      <c r="J28" s="104">
        <f t="shared" si="8"/>
        <v>41009.019999999997</v>
      </c>
    </row>
    <row r="29" spans="1:11" ht="25.5" customHeight="1">
      <c r="A29" s="30" t="s">
        <v>564</v>
      </c>
      <c r="B29" s="7" t="s">
        <v>608</v>
      </c>
      <c r="C29" s="7"/>
      <c r="D29" s="17"/>
      <c r="E29" s="13">
        <f t="shared" si="0"/>
        <v>23556.76</v>
      </c>
      <c r="F29" s="17">
        <f>SUM(F30:F36)</f>
        <v>23556.76</v>
      </c>
      <c r="G29" s="13">
        <f>G39+G42+G48</f>
        <v>34615.53</v>
      </c>
      <c r="H29" s="120"/>
      <c r="I29" s="104">
        <f t="shared" ref="I29:J29" si="9">I30+I37</f>
        <v>39813.69</v>
      </c>
      <c r="J29" s="104">
        <f t="shared" si="9"/>
        <v>40647.81</v>
      </c>
    </row>
    <row r="30" spans="1:11" ht="25.5" customHeight="1">
      <c r="A30" s="28" t="s">
        <v>104</v>
      </c>
      <c r="B30" s="7" t="s">
        <v>608</v>
      </c>
      <c r="C30" s="15" t="s">
        <v>42</v>
      </c>
      <c r="D30" s="17"/>
      <c r="E30" s="13">
        <f t="shared" si="0"/>
        <v>16532.72</v>
      </c>
      <c r="F30" s="17">
        <f>18076.92-501.8-1505.4+463</f>
        <v>16532.72</v>
      </c>
      <c r="G30" s="13"/>
      <c r="H30" s="120"/>
      <c r="I30" s="104">
        <f t="shared" ref="I30:J30" si="10">I31+I32+I33+I34+I35+I36</f>
        <v>37561.050000000003</v>
      </c>
      <c r="J30" s="104">
        <f t="shared" si="10"/>
        <v>38395.17</v>
      </c>
    </row>
    <row r="31" spans="1:11" ht="44.25" customHeight="1">
      <c r="A31" s="28" t="s">
        <v>105</v>
      </c>
      <c r="B31" s="7" t="s">
        <v>608</v>
      </c>
      <c r="C31" s="4" t="s">
        <v>47</v>
      </c>
      <c r="D31" s="17"/>
      <c r="E31" s="13">
        <f t="shared" si="0"/>
        <v>896</v>
      </c>
      <c r="F31" s="17">
        <v>896</v>
      </c>
      <c r="G31" s="13"/>
      <c r="H31" s="120"/>
      <c r="I31" s="100">
        <v>28314.09</v>
      </c>
      <c r="J31" s="100">
        <v>28314.09</v>
      </c>
    </row>
    <row r="32" spans="1:11" ht="26.25" customHeight="1">
      <c r="A32" s="28" t="s">
        <v>304</v>
      </c>
      <c r="B32" s="7" t="s">
        <v>608</v>
      </c>
      <c r="C32" s="15" t="s">
        <v>44</v>
      </c>
      <c r="D32" s="17"/>
      <c r="E32" s="13">
        <f t="shared" si="0"/>
        <v>4992.8899999999994</v>
      </c>
      <c r="F32" s="17">
        <f>5459.23-151.54-454.63+139.83</f>
        <v>4992.8899999999994</v>
      </c>
      <c r="G32" s="13"/>
      <c r="H32" s="120"/>
      <c r="I32" s="100">
        <v>344.28</v>
      </c>
      <c r="J32" s="100">
        <v>344.28</v>
      </c>
    </row>
    <row r="33" spans="1:10" ht="30" customHeight="1">
      <c r="A33" s="28" t="s">
        <v>19</v>
      </c>
      <c r="B33" s="7" t="s">
        <v>608</v>
      </c>
      <c r="C33" s="7" t="s">
        <v>20</v>
      </c>
      <c r="D33" s="17"/>
      <c r="E33" s="13">
        <f t="shared" si="0"/>
        <v>865.4299999999987</v>
      </c>
      <c r="F33" s="17">
        <f>25559.19-16069.72-4853.06-896-269.72+8.11-653.34-1960.03</f>
        <v>865.4299999999987</v>
      </c>
      <c r="G33" s="13"/>
      <c r="H33" s="120"/>
      <c r="I33" s="100">
        <v>8550.85</v>
      </c>
      <c r="J33" s="100">
        <v>8550.85</v>
      </c>
    </row>
    <row r="34" spans="1:10" ht="31.5" customHeight="1">
      <c r="A34" s="28" t="s">
        <v>30</v>
      </c>
      <c r="B34" s="7" t="s">
        <v>608</v>
      </c>
      <c r="C34" s="4" t="s">
        <v>31</v>
      </c>
      <c r="D34" s="17"/>
      <c r="E34" s="13">
        <f t="shared" si="0"/>
        <v>114</v>
      </c>
      <c r="F34" s="17">
        <v>114</v>
      </c>
      <c r="G34" s="13"/>
      <c r="H34" s="120"/>
      <c r="I34" s="100"/>
      <c r="J34" s="100">
        <f t="shared" ref="J34" si="11">40647.81-37209.22-351.83-2252.64</f>
        <v>834.11999999999671</v>
      </c>
    </row>
    <row r="35" spans="1:10" ht="22.5" customHeight="1">
      <c r="A35" s="28" t="s">
        <v>32</v>
      </c>
      <c r="B35" s="7" t="s">
        <v>608</v>
      </c>
      <c r="C35" s="4" t="s">
        <v>33</v>
      </c>
      <c r="D35" s="17"/>
      <c r="E35" s="13">
        <f t="shared" si="0"/>
        <v>45.62</v>
      </c>
      <c r="F35" s="17">
        <v>45.62</v>
      </c>
      <c r="G35" s="13"/>
      <c r="H35" s="120"/>
      <c r="I35" s="100">
        <f t="shared" ref="I35:J35" si="12">351.83-8.5</f>
        <v>343.33</v>
      </c>
      <c r="J35" s="100">
        <f t="shared" si="12"/>
        <v>343.33</v>
      </c>
    </row>
    <row r="36" spans="1:10" ht="21" customHeight="1">
      <c r="A36" s="28" t="s">
        <v>21</v>
      </c>
      <c r="B36" s="7" t="s">
        <v>608</v>
      </c>
      <c r="C36" s="4" t="s">
        <v>22</v>
      </c>
      <c r="D36" s="17"/>
      <c r="E36" s="13">
        <f t="shared" si="0"/>
        <v>110.10000000000002</v>
      </c>
      <c r="F36" s="17">
        <f>269.72-114-45.62</f>
        <v>110.10000000000002</v>
      </c>
      <c r="G36" s="13"/>
      <c r="H36" s="120"/>
      <c r="I36" s="100">
        <v>8.5</v>
      </c>
      <c r="J36" s="100">
        <v>8.5</v>
      </c>
    </row>
    <row r="37" spans="1:10" ht="25.5" customHeight="1">
      <c r="A37" s="28" t="s">
        <v>204</v>
      </c>
      <c r="B37" s="15" t="s">
        <v>610</v>
      </c>
      <c r="C37" s="4"/>
      <c r="D37" s="17">
        <f>SUBTOTAL(9,D38:D41)</f>
        <v>118.6</v>
      </c>
      <c r="E37" s="13">
        <f t="shared" si="0"/>
        <v>0.20000000000000284</v>
      </c>
      <c r="F37" s="17">
        <f>SUM(F38:F41)</f>
        <v>118.8</v>
      </c>
      <c r="G37" s="13"/>
      <c r="H37" s="120"/>
      <c r="I37" s="104">
        <f t="shared" ref="I37:J37" si="13">I38</f>
        <v>2252.64</v>
      </c>
      <c r="J37" s="104">
        <f t="shared" si="13"/>
        <v>2252.64</v>
      </c>
    </row>
    <row r="38" spans="1:10" ht="31.5" customHeight="1">
      <c r="A38" s="28" t="s">
        <v>104</v>
      </c>
      <c r="B38" s="15" t="s">
        <v>610</v>
      </c>
      <c r="C38" s="15" t="s">
        <v>42</v>
      </c>
      <c r="D38" s="17">
        <v>95</v>
      </c>
      <c r="E38" s="13">
        <f t="shared" si="0"/>
        <v>0</v>
      </c>
      <c r="F38" s="17">
        <v>95</v>
      </c>
      <c r="G38" s="13"/>
      <c r="H38" s="120"/>
      <c r="I38" s="100">
        <v>2252.64</v>
      </c>
      <c r="J38" s="100">
        <v>2252.64</v>
      </c>
    </row>
    <row r="39" spans="1:10" ht="25.5" customHeight="1">
      <c r="A39" s="28" t="s">
        <v>46</v>
      </c>
      <c r="B39" s="15" t="s">
        <v>610</v>
      </c>
      <c r="C39" s="15" t="s">
        <v>47</v>
      </c>
      <c r="D39" s="17"/>
      <c r="E39" s="13">
        <f t="shared" si="0"/>
        <v>0</v>
      </c>
      <c r="F39" s="17">
        <v>0</v>
      </c>
      <c r="G39" s="105">
        <f>G40+G41</f>
        <v>30089</v>
      </c>
      <c r="H39" s="120"/>
      <c r="I39" s="124"/>
      <c r="J39" s="124"/>
    </row>
    <row r="40" spans="1:10" ht="37.5" customHeight="1">
      <c r="A40" s="28" t="s">
        <v>276</v>
      </c>
      <c r="B40" s="15" t="s">
        <v>610</v>
      </c>
      <c r="C40" s="15" t="s">
        <v>44</v>
      </c>
      <c r="D40" s="17">
        <f>28.7-5.1</f>
        <v>23.6</v>
      </c>
      <c r="E40" s="13">
        <f t="shared" si="0"/>
        <v>0.19999999999999929</v>
      </c>
      <c r="F40" s="17">
        <v>23.8</v>
      </c>
      <c r="G40" s="105">
        <v>23336.1</v>
      </c>
      <c r="H40" s="120"/>
      <c r="I40" s="124"/>
      <c r="J40" s="124"/>
    </row>
    <row r="41" spans="1:10" ht="30" customHeight="1">
      <c r="A41" s="28" t="s">
        <v>19</v>
      </c>
      <c r="B41" s="15" t="s">
        <v>610</v>
      </c>
      <c r="C41" s="15" t="s">
        <v>20</v>
      </c>
      <c r="D41" s="17"/>
      <c r="E41" s="13">
        <f t="shared" si="0"/>
        <v>0</v>
      </c>
      <c r="F41" s="17">
        <v>0</v>
      </c>
      <c r="G41" s="105">
        <v>6752.9</v>
      </c>
      <c r="H41" s="120"/>
      <c r="I41" s="124"/>
      <c r="J41" s="124"/>
    </row>
    <row r="42" spans="1:10" ht="15" customHeight="1">
      <c r="A42" s="28" t="s">
        <v>218</v>
      </c>
      <c r="B42" s="7" t="s">
        <v>609</v>
      </c>
      <c r="C42" s="15"/>
      <c r="D42" s="17"/>
      <c r="E42" s="13">
        <f t="shared" ref="E42:E60" si="14">F42-D42</f>
        <v>471.6</v>
      </c>
      <c r="F42" s="17">
        <f>SUM(F43:F45)</f>
        <v>471.6</v>
      </c>
      <c r="G42" s="105">
        <f>SUM(G43:G47)</f>
        <v>1692.1299999999999</v>
      </c>
      <c r="H42" s="120"/>
      <c r="I42" s="124"/>
      <c r="J42" s="124"/>
    </row>
    <row r="43" spans="1:10" ht="25.5" customHeight="1">
      <c r="A43" s="28" t="s">
        <v>104</v>
      </c>
      <c r="B43" s="7" t="s">
        <v>609</v>
      </c>
      <c r="C43" s="15" t="s">
        <v>42</v>
      </c>
      <c r="D43" s="17"/>
      <c r="E43" s="13">
        <f t="shared" si="14"/>
        <v>362</v>
      </c>
      <c r="F43" s="17">
        <v>362</v>
      </c>
      <c r="G43" s="105"/>
      <c r="H43" s="120"/>
      <c r="I43" s="124"/>
      <c r="J43" s="124"/>
    </row>
    <row r="44" spans="1:10" ht="25.5" customHeight="1">
      <c r="A44" s="28" t="s">
        <v>276</v>
      </c>
      <c r="B44" s="7" t="s">
        <v>609</v>
      </c>
      <c r="C44" s="15" t="s">
        <v>44</v>
      </c>
      <c r="D44" s="17"/>
      <c r="E44" s="13">
        <f t="shared" si="14"/>
        <v>109.6</v>
      </c>
      <c r="F44" s="17">
        <v>109.6</v>
      </c>
      <c r="G44" s="105">
        <f>117.12+244+72.26+83.5+420+292.1</f>
        <v>1228.98</v>
      </c>
      <c r="H44" s="120"/>
      <c r="I44" s="124"/>
      <c r="J44" s="124"/>
    </row>
    <row r="45" spans="1:10" ht="25.5" customHeight="1">
      <c r="A45" s="28" t="s">
        <v>19</v>
      </c>
      <c r="B45" s="7" t="s">
        <v>609</v>
      </c>
      <c r="C45" s="15" t="s">
        <v>20</v>
      </c>
      <c r="D45" s="17"/>
      <c r="E45" s="13">
        <f t="shared" si="14"/>
        <v>0</v>
      </c>
      <c r="F45" s="17">
        <v>0</v>
      </c>
      <c r="G45" s="105">
        <f>451.56+5.29</f>
        <v>456.85</v>
      </c>
      <c r="H45" s="120"/>
      <c r="I45" s="124"/>
      <c r="J45" s="124"/>
    </row>
    <row r="46" spans="1:10" ht="15" customHeight="1">
      <c r="A46" s="30" t="s">
        <v>333</v>
      </c>
      <c r="B46" s="16" t="s">
        <v>630</v>
      </c>
      <c r="C46" s="4"/>
      <c r="D46" s="17"/>
      <c r="E46" s="13">
        <f t="shared" si="14"/>
        <v>8390.1299999999992</v>
      </c>
      <c r="F46" s="17">
        <f>F47</f>
        <v>8390.1299999999992</v>
      </c>
      <c r="G46" s="105">
        <f>5.8</f>
        <v>5.8</v>
      </c>
      <c r="H46" s="120"/>
      <c r="I46" s="124"/>
      <c r="J46" s="124"/>
    </row>
    <row r="47" spans="1:10" ht="15" customHeight="1">
      <c r="A47" s="28" t="s">
        <v>210</v>
      </c>
      <c r="B47" s="16" t="s">
        <v>631</v>
      </c>
      <c r="C47" s="4"/>
      <c r="D47" s="17"/>
      <c r="E47" s="13">
        <f t="shared" si="14"/>
        <v>8390.1299999999992</v>
      </c>
      <c r="F47" s="17">
        <f>F48</f>
        <v>8390.1299999999992</v>
      </c>
      <c r="G47" s="105">
        <v>0.5</v>
      </c>
      <c r="H47" s="120"/>
      <c r="I47" s="124"/>
      <c r="J47" s="124"/>
    </row>
    <row r="48" spans="1:10" ht="25.5" customHeight="1">
      <c r="A48" s="30" t="s">
        <v>566</v>
      </c>
      <c r="B48" s="16" t="s">
        <v>632</v>
      </c>
      <c r="C48" s="4"/>
      <c r="D48" s="17"/>
      <c r="E48" s="13">
        <f t="shared" si="14"/>
        <v>8390.1299999999992</v>
      </c>
      <c r="F48" s="17">
        <f>SUM(F49:F53)</f>
        <v>8390.1299999999992</v>
      </c>
      <c r="G48" s="105">
        <f>G49</f>
        <v>2834.4</v>
      </c>
      <c r="H48" s="120"/>
      <c r="I48" s="124"/>
      <c r="J48" s="124"/>
    </row>
    <row r="49" spans="1:14" ht="25.5" customHeight="1">
      <c r="A49" s="28" t="s">
        <v>10</v>
      </c>
      <c r="B49" s="16" t="s">
        <v>632</v>
      </c>
      <c r="C49" s="15" t="s">
        <v>11</v>
      </c>
      <c r="D49" s="17"/>
      <c r="E49" s="13">
        <f t="shared" si="14"/>
        <v>6072.1399999999994</v>
      </c>
      <c r="F49" s="17">
        <f>6239.41-167.27</f>
        <v>6072.1399999999994</v>
      </c>
      <c r="G49" s="105">
        <v>2834.4</v>
      </c>
      <c r="H49" s="120"/>
      <c r="I49" s="124"/>
      <c r="J49" s="124"/>
    </row>
    <row r="50" spans="1:14" ht="32.25" customHeight="1">
      <c r="A50" s="32" t="s">
        <v>15</v>
      </c>
      <c r="B50" s="16" t="s">
        <v>632</v>
      </c>
      <c r="C50" s="15" t="s">
        <v>16</v>
      </c>
      <c r="D50" s="17"/>
      <c r="E50" s="13">
        <f t="shared" si="14"/>
        <v>78</v>
      </c>
      <c r="F50" s="17">
        <v>78</v>
      </c>
      <c r="G50" s="102">
        <f>G51</f>
        <v>1062.93</v>
      </c>
      <c r="H50" s="120"/>
      <c r="I50" s="104">
        <f t="shared" ref="I50:J50" si="15">I51</f>
        <v>361.21000000000004</v>
      </c>
      <c r="J50" s="104">
        <f t="shared" si="15"/>
        <v>361.21000000000004</v>
      </c>
    </row>
    <row r="51" spans="1:14" ht="25.5" customHeight="1">
      <c r="A51" s="28" t="s">
        <v>12</v>
      </c>
      <c r="B51" s="16" t="s">
        <v>632</v>
      </c>
      <c r="C51" s="15" t="s">
        <v>13</v>
      </c>
      <c r="D51" s="17"/>
      <c r="E51" s="13">
        <f t="shared" si="14"/>
        <v>1833.79</v>
      </c>
      <c r="F51" s="17">
        <f>1884.3-50.51</f>
        <v>1833.79</v>
      </c>
      <c r="G51" s="102">
        <f>1052.3+10.63</f>
        <v>1062.93</v>
      </c>
      <c r="H51" s="140"/>
      <c r="I51" s="128">
        <f>357.6+3.61</f>
        <v>361.21000000000004</v>
      </c>
      <c r="J51" s="128">
        <f>357.6+3.61</f>
        <v>361.21000000000004</v>
      </c>
      <c r="K51" s="129" t="s">
        <v>524</v>
      </c>
      <c r="L51" s="1">
        <f>356.6/99</f>
        <v>3.6020202020202023</v>
      </c>
      <c r="M51" s="1">
        <f>357.6/99</f>
        <v>3.6121212121212123</v>
      </c>
      <c r="N51" s="1">
        <f>357.6/99</f>
        <v>3.6121212121212123</v>
      </c>
    </row>
    <row r="52" spans="1:14" ht="25.5" customHeight="1">
      <c r="A52" s="28" t="s">
        <v>19</v>
      </c>
      <c r="B52" s="16" t="s">
        <v>632</v>
      </c>
      <c r="C52" s="4">
        <v>244</v>
      </c>
      <c r="D52" s="17"/>
      <c r="E52" s="13">
        <f t="shared" si="14"/>
        <v>405.87999999999954</v>
      </c>
      <c r="F52" s="17">
        <f>8607.91-6072.14-78-1833.79-0.32-217.78</f>
        <v>405.87999999999954</v>
      </c>
      <c r="G52" s="13">
        <f>G53+G68+G66</f>
        <v>14858.24</v>
      </c>
      <c r="H52" s="120"/>
      <c r="I52" s="104">
        <f t="shared" ref="I52:J53" si="16">I53</f>
        <v>14488.829999999998</v>
      </c>
      <c r="J52" s="104">
        <f t="shared" si="16"/>
        <v>15242.589999999998</v>
      </c>
    </row>
    <row r="53" spans="1:14" ht="15" customHeight="1">
      <c r="A53" s="28" t="s">
        <v>32</v>
      </c>
      <c r="B53" s="16" t="s">
        <v>632</v>
      </c>
      <c r="C53" s="4" t="s">
        <v>33</v>
      </c>
      <c r="D53" s="17"/>
      <c r="E53" s="13">
        <f t="shared" si="14"/>
        <v>0.32</v>
      </c>
      <c r="F53" s="17">
        <v>0.32</v>
      </c>
      <c r="G53" s="13">
        <f>G60+G63</f>
        <v>14844.710000000001</v>
      </c>
      <c r="H53" s="120"/>
      <c r="I53" s="104">
        <f t="shared" si="16"/>
        <v>14488.829999999998</v>
      </c>
      <c r="J53" s="104">
        <f t="shared" si="16"/>
        <v>15242.589999999998</v>
      </c>
    </row>
    <row r="54" spans="1:14" ht="27.75" customHeight="1">
      <c r="A54" s="30" t="s">
        <v>339</v>
      </c>
      <c r="B54" s="7" t="s">
        <v>338</v>
      </c>
      <c r="C54" s="11"/>
      <c r="D54" s="17">
        <f>D55</f>
        <v>200</v>
      </c>
      <c r="E54" s="13">
        <f t="shared" si="14"/>
        <v>-200</v>
      </c>
      <c r="F54" s="17">
        <f>F55</f>
        <v>0</v>
      </c>
      <c r="G54" s="13"/>
      <c r="H54" s="120"/>
      <c r="I54" s="104">
        <f t="shared" ref="I54:J54" si="17">I55+I56+I57+I58+I59</f>
        <v>14488.829999999998</v>
      </c>
      <c r="J54" s="104">
        <f t="shared" si="17"/>
        <v>15242.589999999998</v>
      </c>
    </row>
    <row r="55" spans="1:14" ht="30" hidden="1" customHeight="1">
      <c r="A55" s="30" t="s">
        <v>339</v>
      </c>
      <c r="B55" s="7" t="s">
        <v>338</v>
      </c>
      <c r="C55" s="4"/>
      <c r="D55" s="17">
        <f>D56</f>
        <v>200</v>
      </c>
      <c r="E55" s="13">
        <f t="shared" si="14"/>
        <v>-200</v>
      </c>
      <c r="F55" s="17">
        <f>F56</f>
        <v>0</v>
      </c>
      <c r="G55" s="13"/>
      <c r="H55" s="120"/>
      <c r="I55" s="100">
        <v>11028.96</v>
      </c>
      <c r="J55" s="100">
        <v>11028.96</v>
      </c>
    </row>
    <row r="56" spans="1:14" ht="28.5" hidden="1" customHeight="1">
      <c r="A56" s="30" t="s">
        <v>339</v>
      </c>
      <c r="B56" s="7" t="s">
        <v>338</v>
      </c>
      <c r="C56" s="7"/>
      <c r="D56" s="17">
        <f>D57</f>
        <v>200</v>
      </c>
      <c r="E56" s="13">
        <f t="shared" si="14"/>
        <v>-200</v>
      </c>
      <c r="F56" s="17">
        <f>F57</f>
        <v>0</v>
      </c>
      <c r="G56" s="13"/>
      <c r="H56" s="120"/>
      <c r="I56" s="100">
        <v>128.80000000000001</v>
      </c>
      <c r="J56" s="100">
        <v>128.80000000000001</v>
      </c>
    </row>
    <row r="57" spans="1:14" ht="30.75" hidden="1" customHeight="1">
      <c r="A57" s="30" t="s">
        <v>339</v>
      </c>
      <c r="B57" s="7" t="s">
        <v>338</v>
      </c>
      <c r="C57" s="4"/>
      <c r="D57" s="17">
        <f>D58</f>
        <v>200</v>
      </c>
      <c r="E57" s="13">
        <f t="shared" si="14"/>
        <v>-200</v>
      </c>
      <c r="F57" s="17">
        <f>F58</f>
        <v>0</v>
      </c>
      <c r="G57" s="13"/>
      <c r="H57" s="120"/>
      <c r="I57" s="100">
        <v>3330.75</v>
      </c>
      <c r="J57" s="100">
        <v>3330.75</v>
      </c>
    </row>
    <row r="58" spans="1:14" ht="29.25" customHeight="1">
      <c r="A58" s="28" t="s">
        <v>213</v>
      </c>
      <c r="B58" s="16" t="s">
        <v>362</v>
      </c>
      <c r="C58" s="4"/>
      <c r="D58" s="17">
        <f>D59</f>
        <v>200</v>
      </c>
      <c r="E58" s="13">
        <f t="shared" si="14"/>
        <v>-200</v>
      </c>
      <c r="F58" s="17">
        <f>F59</f>
        <v>0</v>
      </c>
      <c r="G58" s="13"/>
      <c r="H58" s="120"/>
      <c r="I58" s="100"/>
      <c r="J58" s="100">
        <f t="shared" ref="J58" si="18">15242.59-14488.51-0.32</f>
        <v>753.75999999999988</v>
      </c>
    </row>
    <row r="59" spans="1:14" ht="15" customHeight="1">
      <c r="A59" s="28" t="s">
        <v>213</v>
      </c>
      <c r="B59" s="16" t="s">
        <v>362</v>
      </c>
      <c r="C59" s="4"/>
      <c r="D59" s="17">
        <f>D64+D63</f>
        <v>200</v>
      </c>
      <c r="E59" s="13">
        <f t="shared" si="14"/>
        <v>-200</v>
      </c>
      <c r="F59" s="17">
        <f>F61</f>
        <v>0</v>
      </c>
      <c r="G59" s="13"/>
      <c r="H59" s="120"/>
      <c r="I59" s="100">
        <v>0.32</v>
      </c>
      <c r="J59" s="100">
        <v>0.32</v>
      </c>
    </row>
    <row r="60" spans="1:14" ht="25.5" customHeight="1">
      <c r="A60" s="14" t="s">
        <v>576</v>
      </c>
      <c r="B60" s="15" t="s">
        <v>510</v>
      </c>
      <c r="C60" s="15"/>
      <c r="D60" s="17"/>
      <c r="E60" s="13">
        <f t="shared" si="14"/>
        <v>0</v>
      </c>
      <c r="F60" s="17">
        <f>F61</f>
        <v>0</v>
      </c>
      <c r="G60" s="105">
        <f>SUM(G61:G62)</f>
        <v>13929.710000000001</v>
      </c>
      <c r="H60" s="120"/>
      <c r="I60" s="124"/>
      <c r="J60" s="124"/>
    </row>
    <row r="61" spans="1:14" ht="18.75" customHeight="1">
      <c r="A61" s="14" t="s">
        <v>591</v>
      </c>
      <c r="B61" s="15" t="s">
        <v>605</v>
      </c>
      <c r="C61" s="15"/>
      <c r="D61" s="17"/>
      <c r="E61" s="13"/>
      <c r="F61" s="17">
        <f>F62</f>
        <v>0</v>
      </c>
      <c r="G61" s="105">
        <v>10887.28</v>
      </c>
      <c r="H61" s="120"/>
      <c r="I61" s="124"/>
      <c r="J61" s="124"/>
    </row>
    <row r="62" spans="1:14" ht="40.5" customHeight="1">
      <c r="A62" s="14" t="s">
        <v>19</v>
      </c>
      <c r="B62" s="15" t="s">
        <v>605</v>
      </c>
      <c r="C62" s="15" t="s">
        <v>20</v>
      </c>
      <c r="D62" s="17">
        <v>200</v>
      </c>
      <c r="E62" s="13">
        <f t="shared" ref="E62:E125" si="19">F62-D62</f>
        <v>-200</v>
      </c>
      <c r="F62" s="17">
        <v>0</v>
      </c>
      <c r="G62" s="105">
        <v>3042.43</v>
      </c>
      <c r="H62" s="120"/>
      <c r="I62" s="124"/>
      <c r="J62" s="124"/>
    </row>
    <row r="63" spans="1:14" ht="15" customHeight="1">
      <c r="A63" s="14" t="s">
        <v>511</v>
      </c>
      <c r="B63" s="15" t="s">
        <v>461</v>
      </c>
      <c r="C63" s="15"/>
      <c r="D63" s="17">
        <v>200</v>
      </c>
      <c r="E63" s="13">
        <f t="shared" si="19"/>
        <v>-200</v>
      </c>
      <c r="F63" s="17">
        <v>0</v>
      </c>
      <c r="G63" s="105">
        <f>SUM(G64:G65)</f>
        <v>915</v>
      </c>
      <c r="H63" s="120"/>
      <c r="I63" s="124"/>
      <c r="J63" s="124"/>
    </row>
    <row r="64" spans="1:14" ht="25.5" customHeight="1">
      <c r="A64" s="28" t="s">
        <v>214</v>
      </c>
      <c r="B64" s="16" t="s">
        <v>363</v>
      </c>
      <c r="C64" s="15"/>
      <c r="D64" s="17">
        <f>D65</f>
        <v>0</v>
      </c>
      <c r="E64" s="13">
        <f t="shared" si="19"/>
        <v>0</v>
      </c>
      <c r="F64" s="17">
        <f>F65</f>
        <v>0</v>
      </c>
      <c r="G64" s="105"/>
      <c r="H64" s="120"/>
      <c r="I64" s="124"/>
      <c r="J64" s="124"/>
    </row>
    <row r="65" spans="1:10" ht="25.5" customHeight="1">
      <c r="A65" s="28" t="s">
        <v>19</v>
      </c>
      <c r="B65" s="16" t="s">
        <v>363</v>
      </c>
      <c r="C65" s="15" t="s">
        <v>20</v>
      </c>
      <c r="D65" s="17"/>
      <c r="E65" s="13">
        <f t="shared" si="19"/>
        <v>0</v>
      </c>
      <c r="F65" s="17">
        <v>0</v>
      </c>
      <c r="G65" s="105">
        <f>500+316.4+55+43.6</f>
        <v>915</v>
      </c>
      <c r="H65" s="120"/>
      <c r="I65" s="124"/>
      <c r="J65" s="124"/>
    </row>
    <row r="66" spans="1:10" ht="25.5" customHeight="1">
      <c r="A66" s="28" t="s">
        <v>214</v>
      </c>
      <c r="B66" s="16" t="s">
        <v>363</v>
      </c>
      <c r="C66" s="15"/>
      <c r="D66" s="17">
        <f>D67</f>
        <v>0</v>
      </c>
      <c r="E66" s="13">
        <f t="shared" si="19"/>
        <v>0</v>
      </c>
      <c r="F66" s="17">
        <v>0</v>
      </c>
      <c r="G66" s="105">
        <f>G67</f>
        <v>0.4</v>
      </c>
      <c r="H66" s="120"/>
      <c r="I66" s="124"/>
      <c r="J66" s="124"/>
    </row>
    <row r="67" spans="1:10" ht="25.5" customHeight="1">
      <c r="A67" s="28" t="s">
        <v>19</v>
      </c>
      <c r="B67" s="16" t="s">
        <v>363</v>
      </c>
      <c r="C67" s="15" t="s">
        <v>20</v>
      </c>
      <c r="D67" s="17"/>
      <c r="E67" s="13">
        <f t="shared" si="19"/>
        <v>0</v>
      </c>
      <c r="F67" s="17">
        <v>0</v>
      </c>
      <c r="G67" s="105">
        <f>0.4</f>
        <v>0.4</v>
      </c>
      <c r="H67" s="120"/>
      <c r="I67" s="124"/>
      <c r="J67" s="124"/>
    </row>
    <row r="68" spans="1:10" ht="34.5" customHeight="1">
      <c r="A68" s="28" t="s">
        <v>137</v>
      </c>
      <c r="B68" s="15" t="s">
        <v>373</v>
      </c>
      <c r="C68" s="15"/>
      <c r="D68" s="17">
        <f>D69</f>
        <v>9504.1699999999983</v>
      </c>
      <c r="E68" s="13">
        <f t="shared" si="19"/>
        <v>-2831.7899999999991</v>
      </c>
      <c r="F68" s="17">
        <f>F69</f>
        <v>6672.3799999999992</v>
      </c>
      <c r="G68" s="105">
        <f>G69</f>
        <v>13.13</v>
      </c>
      <c r="H68" s="120"/>
      <c r="I68" s="124"/>
      <c r="J68" s="124"/>
    </row>
    <row r="69" spans="1:10" ht="25.5" hidden="1" customHeight="1">
      <c r="A69" s="28" t="s">
        <v>137</v>
      </c>
      <c r="B69" s="15" t="s">
        <v>373</v>
      </c>
      <c r="C69" s="15"/>
      <c r="D69" s="17">
        <f>D70+D92+D89</f>
        <v>9504.1699999999983</v>
      </c>
      <c r="E69" s="13">
        <f t="shared" si="19"/>
        <v>-2831.7899999999991</v>
      </c>
      <c r="F69" s="17">
        <f>F70+F89</f>
        <v>6672.3799999999992</v>
      </c>
      <c r="G69" s="105">
        <f>13+0.13</f>
        <v>13.13</v>
      </c>
      <c r="H69" s="120"/>
      <c r="I69" s="124"/>
      <c r="J69" s="124"/>
    </row>
    <row r="70" spans="1:10" s="47" customFormat="1" ht="15" customHeight="1">
      <c r="A70" s="28" t="s">
        <v>225</v>
      </c>
      <c r="B70" s="15" t="s">
        <v>374</v>
      </c>
      <c r="C70" s="15"/>
      <c r="D70" s="17">
        <f>D79+D82+D87</f>
        <v>8932.2699999999986</v>
      </c>
      <c r="E70" s="13">
        <f t="shared" si="19"/>
        <v>-2681.7899999999991</v>
      </c>
      <c r="F70" s="17">
        <f>F71+F77</f>
        <v>6250.48</v>
      </c>
      <c r="G70" s="12">
        <f>G71+G87</f>
        <v>1528.1999999999998</v>
      </c>
      <c r="H70" s="121"/>
      <c r="I70" s="103">
        <f t="shared" ref="I70:J70" si="20">I71+I87</f>
        <v>1211.05</v>
      </c>
      <c r="J70" s="103">
        <f t="shared" si="20"/>
        <v>1227.27</v>
      </c>
    </row>
    <row r="71" spans="1:10" ht="25.5" customHeight="1">
      <c r="A71" s="30" t="s">
        <v>570</v>
      </c>
      <c r="B71" s="15" t="s">
        <v>569</v>
      </c>
      <c r="C71" s="15"/>
      <c r="D71" s="17"/>
      <c r="E71" s="13">
        <f t="shared" si="19"/>
        <v>6007.9199999999992</v>
      </c>
      <c r="F71" s="17">
        <f>SUM(F72:F76)</f>
        <v>6007.9199999999992</v>
      </c>
      <c r="G71" s="13">
        <f>G72</f>
        <v>1528.1999999999998</v>
      </c>
      <c r="H71" s="120"/>
      <c r="I71" s="104">
        <f t="shared" ref="I71:J71" si="21">I73</f>
        <v>1211.05</v>
      </c>
      <c r="J71" s="104">
        <f t="shared" si="21"/>
        <v>1227.27</v>
      </c>
    </row>
    <row r="72" spans="1:10" ht="25.5" customHeight="1">
      <c r="A72" s="161" t="s">
        <v>489</v>
      </c>
      <c r="B72" s="15" t="s">
        <v>569</v>
      </c>
      <c r="C72" s="15" t="s">
        <v>11</v>
      </c>
      <c r="D72" s="17"/>
      <c r="E72" s="13">
        <f t="shared" si="19"/>
        <v>4283.55</v>
      </c>
      <c r="F72" s="17">
        <f>7503.43-3219.88</f>
        <v>4283.55</v>
      </c>
      <c r="G72" s="105">
        <f>G74</f>
        <v>1528.1999999999998</v>
      </c>
      <c r="H72" s="120"/>
      <c r="I72" s="124"/>
      <c r="J72" s="124"/>
    </row>
    <row r="73" spans="1:10" ht="38.25" customHeight="1">
      <c r="A73" s="32" t="s">
        <v>15</v>
      </c>
      <c r="B73" s="15" t="s">
        <v>569</v>
      </c>
      <c r="C73" s="15" t="s">
        <v>16</v>
      </c>
      <c r="D73" s="17"/>
      <c r="E73" s="13">
        <f t="shared" si="19"/>
        <v>226.8</v>
      </c>
      <c r="F73" s="17">
        <v>226.8</v>
      </c>
      <c r="G73" s="13">
        <f>G74</f>
        <v>1528.1999999999998</v>
      </c>
      <c r="H73" s="120"/>
      <c r="I73" s="104">
        <f t="shared" ref="I73:J74" si="22">I74</f>
        <v>1211.05</v>
      </c>
      <c r="J73" s="104">
        <f t="shared" si="22"/>
        <v>1227.27</v>
      </c>
    </row>
    <row r="74" spans="1:10" ht="27.75" customHeight="1">
      <c r="A74" s="28" t="s">
        <v>12</v>
      </c>
      <c r="B74" s="15" t="s">
        <v>569</v>
      </c>
      <c r="C74" s="15" t="s">
        <v>13</v>
      </c>
      <c r="D74" s="17"/>
      <c r="E74" s="13">
        <f t="shared" si="19"/>
        <v>1293.6399999999999</v>
      </c>
      <c r="F74" s="17">
        <f>2266.04-972.4</f>
        <v>1293.6399999999999</v>
      </c>
      <c r="G74" s="13">
        <f>G81+G84</f>
        <v>1528.1999999999998</v>
      </c>
      <c r="H74" s="120"/>
      <c r="I74" s="104">
        <f t="shared" si="22"/>
        <v>1211.05</v>
      </c>
      <c r="J74" s="104">
        <f t="shared" si="22"/>
        <v>1227.27</v>
      </c>
    </row>
    <row r="75" spans="1:10" ht="40.5" customHeight="1">
      <c r="A75" s="28" t="s">
        <v>19</v>
      </c>
      <c r="B75" s="15" t="s">
        <v>569</v>
      </c>
      <c r="C75" s="4">
        <v>244</v>
      </c>
      <c r="D75" s="17"/>
      <c r="E75" s="13">
        <f t="shared" si="19"/>
        <v>192.80999999999949</v>
      </c>
      <c r="F75" s="17">
        <f>10442.76-4283.55-226.8-1293.64-11.12-242.56-4192.28</f>
        <v>192.80999999999949</v>
      </c>
      <c r="G75" s="13"/>
      <c r="H75" s="120"/>
      <c r="I75" s="104">
        <f t="shared" ref="I75:J75" si="23">I76+I77+I78+I79+I80</f>
        <v>1211.05</v>
      </c>
      <c r="J75" s="104">
        <f t="shared" si="23"/>
        <v>1227.27</v>
      </c>
    </row>
    <row r="76" spans="1:10" ht="35.25" customHeight="1">
      <c r="A76" s="28" t="s">
        <v>30</v>
      </c>
      <c r="B76" s="15" t="s">
        <v>569</v>
      </c>
      <c r="C76" s="15" t="s">
        <v>31</v>
      </c>
      <c r="D76" s="17"/>
      <c r="E76" s="13">
        <f t="shared" si="19"/>
        <v>11.12</v>
      </c>
      <c r="F76" s="17">
        <v>11.12</v>
      </c>
      <c r="G76" s="13"/>
      <c r="H76" s="120"/>
      <c r="I76" s="100">
        <f t="shared" ref="I76:J76" si="24">1071.36-167.27</f>
        <v>904.08999999999992</v>
      </c>
      <c r="J76" s="100">
        <f t="shared" si="24"/>
        <v>904.08999999999992</v>
      </c>
    </row>
    <row r="77" spans="1:10" ht="42" customHeight="1">
      <c r="A77" s="14" t="s">
        <v>396</v>
      </c>
      <c r="B77" s="15" t="s">
        <v>508</v>
      </c>
      <c r="C77" s="15"/>
      <c r="D77" s="17"/>
      <c r="E77" s="13">
        <f t="shared" si="19"/>
        <v>242.56</v>
      </c>
      <c r="F77" s="17">
        <f>F78</f>
        <v>242.56</v>
      </c>
      <c r="G77" s="13"/>
      <c r="H77" s="120"/>
      <c r="I77" s="100">
        <v>33.6</v>
      </c>
      <c r="J77" s="100">
        <v>33.6</v>
      </c>
    </row>
    <row r="78" spans="1:10" ht="42" customHeight="1">
      <c r="A78" s="28" t="s">
        <v>19</v>
      </c>
      <c r="B78" s="15" t="s">
        <v>508</v>
      </c>
      <c r="C78" s="4">
        <v>244</v>
      </c>
      <c r="D78" s="17"/>
      <c r="E78" s="13">
        <f t="shared" si="19"/>
        <v>242.56</v>
      </c>
      <c r="F78" s="17">
        <v>242.56</v>
      </c>
      <c r="G78" s="13"/>
      <c r="H78" s="120"/>
      <c r="I78" s="100">
        <f t="shared" ref="I78:J78" si="25">323.55-50.51</f>
        <v>273.04000000000002</v>
      </c>
      <c r="J78" s="100">
        <f t="shared" si="25"/>
        <v>273.04000000000002</v>
      </c>
    </row>
    <row r="79" spans="1:10" ht="27" customHeight="1">
      <c r="A79" s="28" t="s">
        <v>226</v>
      </c>
      <c r="B79" s="15" t="s">
        <v>375</v>
      </c>
      <c r="C79" s="4"/>
      <c r="D79" s="17">
        <f>SUBTOTAL(9,D80:D81)</f>
        <v>8372.2999999999993</v>
      </c>
      <c r="E79" s="13">
        <f t="shared" si="19"/>
        <v>-8372.2999999999993</v>
      </c>
      <c r="F79" s="17">
        <v>0</v>
      </c>
      <c r="G79" s="13"/>
      <c r="H79" s="120"/>
      <c r="I79" s="100"/>
      <c r="J79" s="100">
        <f t="shared" ref="J79" si="26">1445.05-1428.51-0.32</f>
        <v>16.219999999999963</v>
      </c>
    </row>
    <row r="80" spans="1:10" ht="15.75" customHeight="1">
      <c r="A80" s="28" t="s">
        <v>10</v>
      </c>
      <c r="B80" s="15" t="s">
        <v>375</v>
      </c>
      <c r="C80" s="15" t="s">
        <v>11</v>
      </c>
      <c r="D80" s="17">
        <f>7352-922</f>
        <v>6430</v>
      </c>
      <c r="E80" s="13">
        <f t="shared" si="19"/>
        <v>-6430</v>
      </c>
      <c r="F80" s="17">
        <v>0</v>
      </c>
      <c r="G80" s="13"/>
      <c r="H80" s="120"/>
      <c r="I80" s="100">
        <v>0.32</v>
      </c>
      <c r="J80" s="100">
        <v>0.32</v>
      </c>
    </row>
    <row r="81" spans="1:20" ht="30" customHeight="1">
      <c r="A81" s="28" t="s">
        <v>12</v>
      </c>
      <c r="B81" s="15" t="s">
        <v>375</v>
      </c>
      <c r="C81" s="15" t="s">
        <v>13</v>
      </c>
      <c r="D81" s="17">
        <f>2220.3-278</f>
        <v>1942.3000000000002</v>
      </c>
      <c r="E81" s="13">
        <f t="shared" si="19"/>
        <v>-1942.3000000000002</v>
      </c>
      <c r="F81" s="17">
        <v>0</v>
      </c>
      <c r="G81" s="105">
        <f>SUM(G82:G83)</f>
        <v>1524.1</v>
      </c>
      <c r="H81" s="120"/>
      <c r="I81" s="124"/>
      <c r="J81" s="124"/>
    </row>
    <row r="82" spans="1:20" ht="25.5" customHeight="1">
      <c r="A82" s="28" t="s">
        <v>227</v>
      </c>
      <c r="B82" s="15" t="s">
        <v>376</v>
      </c>
      <c r="C82" s="4"/>
      <c r="D82" s="17">
        <f>SUBTOTAL(9,D83:D86)</f>
        <v>254.88</v>
      </c>
      <c r="E82" s="13">
        <f t="shared" si="19"/>
        <v>-254.88</v>
      </c>
      <c r="F82" s="17">
        <v>0</v>
      </c>
      <c r="G82" s="105">
        <f>1358.8-150.5</f>
        <v>1208.3</v>
      </c>
      <c r="H82" s="120"/>
      <c r="I82" s="124"/>
      <c r="J82" s="124"/>
    </row>
    <row r="83" spans="1:20" ht="32.25" customHeight="1">
      <c r="A83" s="32" t="s">
        <v>15</v>
      </c>
      <c r="B83" s="15" t="s">
        <v>376</v>
      </c>
      <c r="C83" s="15" t="s">
        <v>16</v>
      </c>
      <c r="D83" s="17"/>
      <c r="E83" s="13">
        <f t="shared" si="19"/>
        <v>0</v>
      </c>
      <c r="F83" s="17">
        <v>0</v>
      </c>
      <c r="G83" s="105">
        <f>361.3-45.5</f>
        <v>315.8</v>
      </c>
      <c r="H83" s="120"/>
      <c r="I83" s="124"/>
      <c r="J83" s="124"/>
    </row>
    <row r="84" spans="1:20" ht="25.5" customHeight="1">
      <c r="A84" s="28" t="s">
        <v>19</v>
      </c>
      <c r="B84" s="15" t="s">
        <v>376</v>
      </c>
      <c r="C84" s="4">
        <v>244</v>
      </c>
      <c r="D84" s="17">
        <f>45.48+24.64+34.43+9.7+128</f>
        <v>242.25</v>
      </c>
      <c r="E84" s="13">
        <f t="shared" si="19"/>
        <v>-242.25</v>
      </c>
      <c r="F84" s="17">
        <v>0</v>
      </c>
      <c r="G84" s="105">
        <f>SUM(G85:G86)</f>
        <v>4.0999999999999996</v>
      </c>
      <c r="H84" s="120"/>
      <c r="I84" s="124"/>
      <c r="J84" s="124"/>
    </row>
    <row r="85" spans="1:20" ht="33" customHeight="1">
      <c r="A85" s="28" t="s">
        <v>30</v>
      </c>
      <c r="B85" s="15" t="s">
        <v>376</v>
      </c>
      <c r="C85" s="4" t="s">
        <v>31</v>
      </c>
      <c r="D85" s="17">
        <f>5+5.84</f>
        <v>10.84</v>
      </c>
      <c r="E85" s="13">
        <f t="shared" si="19"/>
        <v>-10.84</v>
      </c>
      <c r="F85" s="17">
        <v>0</v>
      </c>
      <c r="G85" s="105"/>
      <c r="H85" s="120"/>
      <c r="I85" s="124"/>
      <c r="J85" s="124"/>
    </row>
    <row r="86" spans="1:20" ht="25.5" customHeight="1">
      <c r="A86" s="28" t="s">
        <v>32</v>
      </c>
      <c r="B86" s="15" t="s">
        <v>376</v>
      </c>
      <c r="C86" s="4" t="s">
        <v>33</v>
      </c>
      <c r="D86" s="17">
        <v>1.79</v>
      </c>
      <c r="E86" s="13">
        <f t="shared" si="19"/>
        <v>-1.79</v>
      </c>
      <c r="F86" s="17">
        <v>0</v>
      </c>
      <c r="G86" s="105">
        <f>1.7+2.4</f>
        <v>4.0999999999999996</v>
      </c>
      <c r="H86" s="120"/>
      <c r="I86" s="124"/>
      <c r="J86" s="124"/>
    </row>
    <row r="87" spans="1:20" ht="25.5" customHeight="1">
      <c r="A87" s="14" t="s">
        <v>396</v>
      </c>
      <c r="B87" s="15" t="s">
        <v>457</v>
      </c>
      <c r="C87" s="4"/>
      <c r="D87" s="17">
        <f>D88</f>
        <v>305.08999999999997</v>
      </c>
      <c r="E87" s="13">
        <f t="shared" si="19"/>
        <v>-305.08999999999997</v>
      </c>
      <c r="F87" s="17">
        <v>0</v>
      </c>
      <c r="G87" s="102">
        <f t="shared" ref="G87:G89" si="27">G88</f>
        <v>0</v>
      </c>
      <c r="H87" s="120"/>
      <c r="I87" s="104">
        <f t="shared" ref="I87:J89" si="28">I88</f>
        <v>0</v>
      </c>
      <c r="J87" s="104">
        <f t="shared" si="28"/>
        <v>0</v>
      </c>
    </row>
    <row r="88" spans="1:20" ht="24.75" customHeight="1">
      <c r="A88" s="14" t="s">
        <v>19</v>
      </c>
      <c r="B88" s="15" t="s">
        <v>457</v>
      </c>
      <c r="C88" s="4" t="s">
        <v>20</v>
      </c>
      <c r="D88" s="17">
        <v>305.08999999999997</v>
      </c>
      <c r="E88" s="13">
        <f t="shared" si="19"/>
        <v>-305.08999999999997</v>
      </c>
      <c r="F88" s="17">
        <v>0</v>
      </c>
      <c r="G88" s="102">
        <f t="shared" si="27"/>
        <v>0</v>
      </c>
      <c r="H88" s="120"/>
      <c r="I88" s="104">
        <f t="shared" si="28"/>
        <v>0</v>
      </c>
      <c r="J88" s="104">
        <f t="shared" si="28"/>
        <v>0</v>
      </c>
    </row>
    <row r="89" spans="1:20" ht="21.75" customHeight="1">
      <c r="A89" s="14" t="s">
        <v>576</v>
      </c>
      <c r="B89" s="15" t="s">
        <v>459</v>
      </c>
      <c r="C89" s="4"/>
      <c r="D89" s="17">
        <f>D91</f>
        <v>150</v>
      </c>
      <c r="E89" s="13">
        <f t="shared" si="19"/>
        <v>271.89999999999998</v>
      </c>
      <c r="F89" s="17">
        <f>F90+F92</f>
        <v>421.9</v>
      </c>
      <c r="G89" s="102">
        <f t="shared" si="27"/>
        <v>0</v>
      </c>
      <c r="H89" s="120"/>
      <c r="I89" s="104">
        <f t="shared" si="28"/>
        <v>0</v>
      </c>
      <c r="J89" s="104">
        <f t="shared" si="28"/>
        <v>0</v>
      </c>
    </row>
    <row r="90" spans="1:20" ht="26.25" customHeight="1">
      <c r="A90" s="14" t="s">
        <v>591</v>
      </c>
      <c r="B90" s="15" t="s">
        <v>604</v>
      </c>
      <c r="C90" s="4"/>
      <c r="D90" s="17"/>
      <c r="E90" s="13">
        <f t="shared" si="19"/>
        <v>0</v>
      </c>
      <c r="F90" s="17">
        <f>F91</f>
        <v>0</v>
      </c>
      <c r="G90" s="102">
        <f>G91+G92</f>
        <v>0</v>
      </c>
      <c r="H90" s="120"/>
      <c r="I90" s="104">
        <f t="shared" ref="I90:J90" si="29">I91+I92</f>
        <v>0</v>
      </c>
      <c r="J90" s="104">
        <f t="shared" si="29"/>
        <v>0</v>
      </c>
    </row>
    <row r="91" spans="1:20" ht="25.5" customHeight="1">
      <c r="A91" s="162" t="s">
        <v>19</v>
      </c>
      <c r="B91" s="15" t="s">
        <v>604</v>
      </c>
      <c r="C91" s="4" t="s">
        <v>20</v>
      </c>
      <c r="D91" s="163">
        <v>150</v>
      </c>
      <c r="E91" s="163">
        <f t="shared" si="19"/>
        <v>-150</v>
      </c>
      <c r="F91" s="17">
        <v>0</v>
      </c>
      <c r="G91" s="102"/>
      <c r="H91" s="120"/>
      <c r="I91" s="128"/>
      <c r="J91" s="128"/>
      <c r="K91" s="148" t="s">
        <v>524</v>
      </c>
    </row>
    <row r="92" spans="1:20" ht="39" customHeight="1">
      <c r="A92" s="28" t="s">
        <v>228</v>
      </c>
      <c r="B92" s="15" t="s">
        <v>377</v>
      </c>
      <c r="C92" s="15"/>
      <c r="D92" s="17">
        <f>D93</f>
        <v>421.9</v>
      </c>
      <c r="E92" s="13">
        <f t="shared" si="19"/>
        <v>0</v>
      </c>
      <c r="F92" s="17">
        <f>F93</f>
        <v>421.9</v>
      </c>
      <c r="G92" s="102"/>
      <c r="H92" s="120"/>
      <c r="I92" s="128"/>
      <c r="J92" s="128"/>
      <c r="K92" s="148" t="s">
        <v>524</v>
      </c>
    </row>
    <row r="93" spans="1:20" s="47" customFormat="1" ht="25.5" customHeight="1">
      <c r="A93" s="28" t="s">
        <v>19</v>
      </c>
      <c r="B93" s="15" t="s">
        <v>377</v>
      </c>
      <c r="C93" s="15" t="s">
        <v>20</v>
      </c>
      <c r="D93" s="17">
        <f>422.2-0.3</f>
        <v>421.9</v>
      </c>
      <c r="E93" s="13">
        <f t="shared" si="19"/>
        <v>0</v>
      </c>
      <c r="F93" s="17">
        <v>421.9</v>
      </c>
      <c r="G93" s="118">
        <f>G94+G313</f>
        <v>552769.48</v>
      </c>
      <c r="H93" s="121"/>
      <c r="I93" s="113">
        <f t="shared" ref="I93:J93" si="30">I94+I313+I326</f>
        <v>670724.81000000006</v>
      </c>
      <c r="J93" s="113">
        <f t="shared" si="30"/>
        <v>708204.08999999985</v>
      </c>
    </row>
    <row r="94" spans="1:20" s="47" customFormat="1" ht="15" customHeight="1">
      <c r="A94" s="28" t="s">
        <v>138</v>
      </c>
      <c r="B94" s="15" t="s">
        <v>410</v>
      </c>
      <c r="C94" s="15"/>
      <c r="D94" s="17">
        <f>D95</f>
        <v>385.5</v>
      </c>
      <c r="E94" s="13">
        <f t="shared" si="19"/>
        <v>-131.9</v>
      </c>
      <c r="F94" s="17">
        <f>F95</f>
        <v>253.6</v>
      </c>
      <c r="G94" s="21">
        <f>G95+G139+G225+G247+G198</f>
        <v>546948.67999999993</v>
      </c>
      <c r="H94" s="121"/>
      <c r="I94" s="113">
        <f t="shared" ref="I94:J94" si="31">I95+I139+I198+I225+I247</f>
        <v>664983.51</v>
      </c>
      <c r="J94" s="113">
        <f t="shared" si="31"/>
        <v>701465.00999999989</v>
      </c>
    </row>
    <row r="95" spans="1:20" s="47" customFormat="1" ht="15" customHeight="1">
      <c r="A95" s="28" t="s">
        <v>19</v>
      </c>
      <c r="B95" s="15" t="s">
        <v>410</v>
      </c>
      <c r="C95" s="15" t="s">
        <v>20</v>
      </c>
      <c r="D95" s="17">
        <v>385.5</v>
      </c>
      <c r="E95" s="13">
        <f t="shared" si="19"/>
        <v>-131.9</v>
      </c>
      <c r="F95" s="17">
        <v>253.6</v>
      </c>
      <c r="G95" s="21">
        <f>G96+G133</f>
        <v>172761.31</v>
      </c>
      <c r="H95" s="121"/>
      <c r="I95" s="113">
        <f t="shared" ref="I95:J95" si="32">I96+I133</f>
        <v>188582.5</v>
      </c>
      <c r="J95" s="113">
        <f t="shared" si="32"/>
        <v>188582.5</v>
      </c>
      <c r="P95" s="155">
        <f>F101+F102+F103+F104+F105+F107+F119+F121+F122+F123+F124+F126+F127+F129+F137+F138</f>
        <v>11192.67</v>
      </c>
      <c r="Q95" s="155">
        <f>F95-P95</f>
        <v>-10939.07</v>
      </c>
      <c r="S95" s="155">
        <f>I101+I102+I103+I104+I105+I107+I119+I121+I122+I123+I124+I126+I127+I129+I137+I138</f>
        <v>188582.5</v>
      </c>
      <c r="T95" s="155">
        <f>J101+J102+J103+J104+J105+J107+J119+J121+J122+J123+J124+J126+J127+J129+J137+J138</f>
        <v>188582.5</v>
      </c>
    </row>
    <row r="96" spans="1:20" ht="25.5" customHeight="1">
      <c r="A96" s="30" t="s">
        <v>342</v>
      </c>
      <c r="B96" s="16" t="s">
        <v>312</v>
      </c>
      <c r="C96" s="15"/>
      <c r="D96" s="17"/>
      <c r="E96" s="13">
        <f t="shared" si="19"/>
        <v>307.2</v>
      </c>
      <c r="F96" s="17">
        <f>F97</f>
        <v>307.2</v>
      </c>
      <c r="G96" s="17">
        <f>G97</f>
        <v>172761.31</v>
      </c>
      <c r="H96" s="120"/>
      <c r="I96" s="108">
        <f t="shared" ref="I96:J97" si="33">I97</f>
        <v>188582.5</v>
      </c>
      <c r="J96" s="108">
        <f t="shared" si="33"/>
        <v>188582.5</v>
      </c>
    </row>
    <row r="97" spans="1:10" ht="25.5" hidden="1" customHeight="1">
      <c r="A97" s="30" t="s">
        <v>342</v>
      </c>
      <c r="B97" s="7" t="s">
        <v>312</v>
      </c>
      <c r="C97" s="7"/>
      <c r="D97" s="17">
        <f>D98</f>
        <v>0</v>
      </c>
      <c r="E97" s="13">
        <f t="shared" si="19"/>
        <v>307.2</v>
      </c>
      <c r="F97" s="17">
        <f>F98</f>
        <v>307.2</v>
      </c>
      <c r="G97" s="17">
        <f>G98++G130</f>
        <v>172761.31</v>
      </c>
      <c r="H97" s="120"/>
      <c r="I97" s="108">
        <f t="shared" si="33"/>
        <v>188582.5</v>
      </c>
      <c r="J97" s="108">
        <f t="shared" si="33"/>
        <v>188582.5</v>
      </c>
    </row>
    <row r="98" spans="1:10" ht="25.5" customHeight="1">
      <c r="A98" s="28" t="s">
        <v>525</v>
      </c>
      <c r="B98" s="16" t="s">
        <v>526</v>
      </c>
      <c r="C98" s="15"/>
      <c r="D98" s="17"/>
      <c r="E98" s="13">
        <f t="shared" si="19"/>
        <v>307.2</v>
      </c>
      <c r="F98" s="17">
        <f>F99</f>
        <v>307.2</v>
      </c>
      <c r="G98" s="17">
        <f>G99+G120+G125+G128</f>
        <v>159494.01</v>
      </c>
      <c r="H98" s="120"/>
      <c r="I98" s="108">
        <f t="shared" ref="I98:J98" si="34">I99+I117+I120+I125+I128</f>
        <v>188582.5</v>
      </c>
      <c r="J98" s="108">
        <f t="shared" si="34"/>
        <v>188582.5</v>
      </c>
    </row>
    <row r="99" spans="1:10" ht="25.5" customHeight="1">
      <c r="A99" s="28" t="s">
        <v>19</v>
      </c>
      <c r="B99" s="16" t="s">
        <v>526</v>
      </c>
      <c r="C99" s="15" t="s">
        <v>20</v>
      </c>
      <c r="D99" s="17"/>
      <c r="E99" s="13">
        <f t="shared" si="19"/>
        <v>307.2</v>
      </c>
      <c r="F99" s="17">
        <v>307.2</v>
      </c>
      <c r="G99" s="17">
        <f>G108+G111+G115</f>
        <v>40680.199999999997</v>
      </c>
      <c r="H99" s="120"/>
      <c r="I99" s="108">
        <f t="shared" ref="I99:J99" si="35">I100+I106</f>
        <v>49183.24</v>
      </c>
      <c r="J99" s="108">
        <f t="shared" si="35"/>
        <v>49183.24</v>
      </c>
    </row>
    <row r="100" spans="1:10" ht="25.5" customHeight="1">
      <c r="A100" s="30" t="s">
        <v>245</v>
      </c>
      <c r="B100" s="15" t="s">
        <v>391</v>
      </c>
      <c r="C100" s="7"/>
      <c r="D100" s="17">
        <f>D104</f>
        <v>5148</v>
      </c>
      <c r="E100" s="13">
        <f t="shared" si="19"/>
        <v>-1417.1100000000001</v>
      </c>
      <c r="F100" s="17">
        <f>F101</f>
        <v>3730.89</v>
      </c>
      <c r="G100" s="17"/>
      <c r="H100" s="120"/>
      <c r="I100" s="108">
        <f t="shared" ref="I100:J100" si="36">SUM(I101:I105)</f>
        <v>25859.67</v>
      </c>
      <c r="J100" s="108">
        <f t="shared" si="36"/>
        <v>25859.67</v>
      </c>
    </row>
    <row r="101" spans="1:10" ht="15.75" customHeight="1">
      <c r="A101" s="30" t="s">
        <v>587</v>
      </c>
      <c r="B101" s="15" t="s">
        <v>586</v>
      </c>
      <c r="C101" s="7"/>
      <c r="D101" s="17"/>
      <c r="E101" s="13">
        <f t="shared" si="19"/>
        <v>3730.89</v>
      </c>
      <c r="F101" s="17">
        <f>F102</f>
        <v>3730.89</v>
      </c>
      <c r="G101" s="17"/>
      <c r="H101" s="120"/>
      <c r="I101" s="107">
        <f t="shared" ref="I101:J101" si="37">15993.12-7499.34</f>
        <v>8493.7800000000007</v>
      </c>
      <c r="J101" s="107">
        <f t="shared" si="37"/>
        <v>8493.7800000000007</v>
      </c>
    </row>
    <row r="102" spans="1:10" ht="28.5" customHeight="1">
      <c r="A102" s="28" t="s">
        <v>246</v>
      </c>
      <c r="B102" s="15" t="s">
        <v>588</v>
      </c>
      <c r="C102" s="7"/>
      <c r="D102" s="17"/>
      <c r="E102" s="13">
        <f t="shared" si="19"/>
        <v>3730.89</v>
      </c>
      <c r="F102" s="17">
        <f>F103</f>
        <v>3730.89</v>
      </c>
      <c r="G102" s="17"/>
      <c r="H102" s="120"/>
      <c r="I102" s="107">
        <v>154.34</v>
      </c>
      <c r="J102" s="107">
        <v>154.34</v>
      </c>
    </row>
    <row r="103" spans="1:10" ht="42" customHeight="1">
      <c r="A103" s="28" t="s">
        <v>247</v>
      </c>
      <c r="B103" s="15" t="s">
        <v>588</v>
      </c>
      <c r="C103" s="15" t="s">
        <v>248</v>
      </c>
      <c r="D103" s="17"/>
      <c r="E103" s="13">
        <f t="shared" si="19"/>
        <v>3730.89</v>
      </c>
      <c r="F103" s="17">
        <f>5037.58-1306.69</f>
        <v>3730.89</v>
      </c>
      <c r="G103" s="17"/>
      <c r="H103" s="120"/>
      <c r="I103" s="107">
        <f t="shared" ref="I103:J103" si="38">4829.92-2264.8</f>
        <v>2565.12</v>
      </c>
      <c r="J103" s="107">
        <f t="shared" si="38"/>
        <v>2565.12</v>
      </c>
    </row>
    <row r="104" spans="1:10" ht="25.5" customHeight="1">
      <c r="A104" s="28" t="s">
        <v>246</v>
      </c>
      <c r="B104" s="15" t="s">
        <v>392</v>
      </c>
      <c r="C104" s="15"/>
      <c r="D104" s="17">
        <f>D105</f>
        <v>5148</v>
      </c>
      <c r="E104" s="13">
        <f t="shared" si="19"/>
        <v>-5148</v>
      </c>
      <c r="F104" s="17">
        <v>0</v>
      </c>
      <c r="G104" s="17"/>
      <c r="H104" s="120"/>
      <c r="I104" s="107">
        <f t="shared" ref="I104:J104" si="39">71382.16-20977.38-502.35-23323.57-12434.78</f>
        <v>14144.08</v>
      </c>
      <c r="J104" s="107">
        <f t="shared" si="39"/>
        <v>14144.08</v>
      </c>
    </row>
    <row r="105" spans="1:10" ht="27.75" customHeight="1">
      <c r="A105" s="28" t="s">
        <v>247</v>
      </c>
      <c r="B105" s="15" t="s">
        <v>392</v>
      </c>
      <c r="C105" s="15" t="s">
        <v>248</v>
      </c>
      <c r="D105" s="17">
        <v>5148</v>
      </c>
      <c r="E105" s="13">
        <f t="shared" si="19"/>
        <v>-5148</v>
      </c>
      <c r="F105" s="17">
        <v>0</v>
      </c>
      <c r="G105" s="17"/>
      <c r="H105" s="120"/>
      <c r="I105" s="107">
        <v>502.35</v>
      </c>
      <c r="J105" s="107">
        <v>502.35</v>
      </c>
    </row>
    <row r="106" spans="1:10" ht="33.75" customHeight="1">
      <c r="A106" s="30" t="s">
        <v>310</v>
      </c>
      <c r="B106" s="7" t="s">
        <v>314</v>
      </c>
      <c r="C106" s="7"/>
      <c r="D106" s="17">
        <f>D107</f>
        <v>25932.74</v>
      </c>
      <c r="E106" s="13">
        <f t="shared" si="19"/>
        <v>-25932.74</v>
      </c>
      <c r="F106" s="17">
        <v>0</v>
      </c>
      <c r="G106" s="17"/>
      <c r="H106" s="120"/>
      <c r="I106" s="108">
        <f t="shared" ref="I106:J106" si="40">I107</f>
        <v>23323.57</v>
      </c>
      <c r="J106" s="108">
        <f t="shared" si="40"/>
        <v>23323.57</v>
      </c>
    </row>
    <row r="107" spans="1:10" ht="26.25" hidden="1" customHeight="1">
      <c r="A107" s="30" t="s">
        <v>310</v>
      </c>
      <c r="B107" s="7" t="s">
        <v>314</v>
      </c>
      <c r="C107" s="7"/>
      <c r="D107" s="17">
        <f>D108+D127</f>
        <v>25932.74</v>
      </c>
      <c r="E107" s="13">
        <f t="shared" si="19"/>
        <v>-25932.74</v>
      </c>
      <c r="F107" s="17">
        <v>0</v>
      </c>
      <c r="G107" s="17"/>
      <c r="H107" s="120"/>
      <c r="I107" s="107">
        <v>23323.57</v>
      </c>
      <c r="J107" s="107">
        <v>23323.57</v>
      </c>
    </row>
    <row r="108" spans="1:10" ht="34.5" customHeight="1">
      <c r="A108" s="30" t="s">
        <v>313</v>
      </c>
      <c r="B108" s="7" t="s">
        <v>315</v>
      </c>
      <c r="C108" s="7"/>
      <c r="D108" s="17">
        <f>D109</f>
        <v>18174.560000000001</v>
      </c>
      <c r="E108" s="13">
        <f t="shared" si="19"/>
        <v>-18174.560000000001</v>
      </c>
      <c r="F108" s="17">
        <v>0</v>
      </c>
      <c r="G108" s="115">
        <f>SUM(G109:G110)</f>
        <v>8383.6</v>
      </c>
      <c r="H108" s="120"/>
      <c r="I108" s="124"/>
      <c r="J108" s="124"/>
    </row>
    <row r="109" spans="1:10" ht="27.75" customHeight="1">
      <c r="A109" s="28" t="s">
        <v>196</v>
      </c>
      <c r="B109" s="15" t="s">
        <v>316</v>
      </c>
      <c r="C109" s="15"/>
      <c r="D109" s="17">
        <f>D110+D113</f>
        <v>18174.560000000001</v>
      </c>
      <c r="E109" s="13">
        <f t="shared" si="19"/>
        <v>-18174.560000000001</v>
      </c>
      <c r="F109" s="17">
        <v>0</v>
      </c>
      <c r="G109" s="115">
        <f>15051.2-8433</f>
        <v>6618.2000000000007</v>
      </c>
      <c r="H109" s="120"/>
      <c r="I109" s="124"/>
      <c r="J109" s="124"/>
    </row>
    <row r="110" spans="1:10" ht="37.5" customHeight="1">
      <c r="A110" s="28" t="s">
        <v>197</v>
      </c>
      <c r="B110" s="15" t="s">
        <v>317</v>
      </c>
      <c r="C110" s="15"/>
      <c r="D110" s="17">
        <f>SUBTOTAL(9,D111:D112)</f>
        <v>17790</v>
      </c>
      <c r="E110" s="13">
        <f t="shared" si="19"/>
        <v>-17790</v>
      </c>
      <c r="F110" s="17">
        <v>0</v>
      </c>
      <c r="G110" s="115">
        <f>4312.2-2546.8</f>
        <v>1765.3999999999996</v>
      </c>
      <c r="H110" s="120"/>
      <c r="I110" s="124"/>
      <c r="J110" s="124"/>
    </row>
    <row r="111" spans="1:10" ht="25.5" customHeight="1">
      <c r="A111" s="28" t="s">
        <v>104</v>
      </c>
      <c r="B111" s="15" t="s">
        <v>317</v>
      </c>
      <c r="C111" s="15" t="s">
        <v>42</v>
      </c>
      <c r="D111" s="17">
        <v>13663.6</v>
      </c>
      <c r="E111" s="13">
        <f t="shared" si="19"/>
        <v>-13663.6</v>
      </c>
      <c r="F111" s="17">
        <v>0</v>
      </c>
      <c r="G111" s="115">
        <f>SUBTOTAL(9,G112:G114)</f>
        <v>6748.199999999998</v>
      </c>
      <c r="H111" s="120"/>
      <c r="I111" s="124"/>
      <c r="J111" s="124"/>
    </row>
    <row r="112" spans="1:10" ht="48.75" customHeight="1">
      <c r="A112" s="28" t="s">
        <v>304</v>
      </c>
      <c r="B112" s="15" t="s">
        <v>317</v>
      </c>
      <c r="C112" s="15" t="s">
        <v>44</v>
      </c>
      <c r="D112" s="17">
        <v>4126.3999999999996</v>
      </c>
      <c r="E112" s="13">
        <f t="shared" si="19"/>
        <v>-4126.3999999999996</v>
      </c>
      <c r="F112" s="17">
        <v>0</v>
      </c>
      <c r="G112" s="115"/>
      <c r="H112" s="120"/>
      <c r="I112" s="124"/>
      <c r="J112" s="124"/>
    </row>
    <row r="113" spans="1:14" ht="25.5" customHeight="1">
      <c r="A113" s="28" t="s">
        <v>198</v>
      </c>
      <c r="B113" s="15" t="s">
        <v>318</v>
      </c>
      <c r="C113" s="15"/>
      <c r="D113" s="17">
        <f>SUBTOTAL(9,D114:D115)</f>
        <v>384.56</v>
      </c>
      <c r="E113" s="13">
        <f t="shared" si="19"/>
        <v>-384.56</v>
      </c>
      <c r="F113" s="17">
        <v>0</v>
      </c>
      <c r="G113" s="115">
        <f>43.7+4182.4+367.6+39460.1+162+661.8-13267.3-25548.4</f>
        <v>6061.8999999999978</v>
      </c>
      <c r="H113" s="120"/>
      <c r="I113" s="124"/>
      <c r="J113" s="124"/>
    </row>
    <row r="114" spans="1:14" ht="39.75" customHeight="1">
      <c r="A114" s="28" t="s">
        <v>105</v>
      </c>
      <c r="B114" s="15" t="s">
        <v>318</v>
      </c>
      <c r="C114" s="4" t="s">
        <v>47</v>
      </c>
      <c r="D114" s="17"/>
      <c r="E114" s="13">
        <f t="shared" si="19"/>
        <v>0</v>
      </c>
      <c r="F114" s="17">
        <v>0</v>
      </c>
      <c r="G114" s="115">
        <v>686.3</v>
      </c>
      <c r="H114" s="120"/>
      <c r="I114" s="124"/>
      <c r="J114" s="124"/>
    </row>
    <row r="115" spans="1:14" ht="38.25" customHeight="1">
      <c r="A115" s="28" t="s">
        <v>19</v>
      </c>
      <c r="B115" s="15" t="s">
        <v>318</v>
      </c>
      <c r="C115" s="4">
        <v>244</v>
      </c>
      <c r="D115" s="17">
        <v>384.56</v>
      </c>
      <c r="E115" s="13">
        <f t="shared" si="19"/>
        <v>-384.56</v>
      </c>
      <c r="F115" s="17">
        <v>0</v>
      </c>
      <c r="G115" s="116">
        <f>G116</f>
        <v>25548.400000000001</v>
      </c>
      <c r="H115" s="120"/>
      <c r="I115" s="124"/>
      <c r="J115" s="124"/>
    </row>
    <row r="116" spans="1:14" ht="25.5" customHeight="1">
      <c r="A116" s="30" t="s">
        <v>326</v>
      </c>
      <c r="B116" s="7" t="s">
        <v>323</v>
      </c>
      <c r="C116" s="7"/>
      <c r="D116" s="17">
        <f>D117</f>
        <v>8110.23</v>
      </c>
      <c r="E116" s="13">
        <f t="shared" si="19"/>
        <v>-8110.23</v>
      </c>
      <c r="F116" s="17">
        <v>0</v>
      </c>
      <c r="G116" s="115">
        <v>25548.400000000001</v>
      </c>
      <c r="H116" s="120"/>
      <c r="I116" s="124"/>
      <c r="J116" s="124"/>
    </row>
    <row r="117" spans="1:14" ht="17.25" customHeight="1">
      <c r="A117" s="28" t="s">
        <v>329</v>
      </c>
      <c r="B117" s="16" t="s">
        <v>330</v>
      </c>
      <c r="C117" s="15"/>
      <c r="D117" s="17">
        <f>D118+D121</f>
        <v>8110.23</v>
      </c>
      <c r="E117" s="13">
        <f t="shared" si="19"/>
        <v>-8110.23</v>
      </c>
      <c r="F117" s="17">
        <v>0</v>
      </c>
      <c r="G117" s="117"/>
      <c r="H117" s="120"/>
      <c r="I117" s="108">
        <f t="shared" ref="I117:J118" si="41">I118</f>
        <v>12434.78</v>
      </c>
      <c r="J117" s="108">
        <f t="shared" si="41"/>
        <v>12434.78</v>
      </c>
    </row>
    <row r="118" spans="1:14" ht="25.5" customHeight="1">
      <c r="A118" s="28" t="s">
        <v>327</v>
      </c>
      <c r="B118" s="16" t="s">
        <v>331</v>
      </c>
      <c r="C118" s="15"/>
      <c r="D118" s="17">
        <f>SUBTOTAL(9,D119:D120)</f>
        <v>5310.2</v>
      </c>
      <c r="E118" s="13">
        <f t="shared" si="19"/>
        <v>-5310.2</v>
      </c>
      <c r="F118" s="17">
        <v>0</v>
      </c>
      <c r="G118" s="117"/>
      <c r="H118" s="120"/>
      <c r="I118" s="108">
        <f t="shared" si="41"/>
        <v>12434.78</v>
      </c>
      <c r="J118" s="108">
        <f t="shared" si="41"/>
        <v>12434.78</v>
      </c>
    </row>
    <row r="119" spans="1:14" ht="25.5" customHeight="1">
      <c r="A119" s="28" t="s">
        <v>104</v>
      </c>
      <c r="B119" s="16" t="s">
        <v>331</v>
      </c>
      <c r="C119" s="15" t="s">
        <v>42</v>
      </c>
      <c r="D119" s="17">
        <f>4513.2-434.7</f>
        <v>4078.5</v>
      </c>
      <c r="E119" s="13">
        <f t="shared" si="19"/>
        <v>-4078.5</v>
      </c>
      <c r="F119" s="17">
        <v>0</v>
      </c>
      <c r="G119" s="117"/>
      <c r="H119" s="120"/>
      <c r="I119" s="107">
        <v>12434.78</v>
      </c>
      <c r="J119" s="107">
        <v>12434.78</v>
      </c>
    </row>
    <row r="120" spans="1:14" ht="45" customHeight="1">
      <c r="A120" s="28" t="s">
        <v>276</v>
      </c>
      <c r="B120" s="16" t="s">
        <v>331</v>
      </c>
      <c r="C120" s="15" t="s">
        <v>44</v>
      </c>
      <c r="D120" s="17">
        <f>1363-131.3</f>
        <v>1231.7</v>
      </c>
      <c r="E120" s="13">
        <f t="shared" si="19"/>
        <v>-1231.7</v>
      </c>
      <c r="F120" s="17">
        <v>0</v>
      </c>
      <c r="G120" s="17">
        <f>SUM(G121:G124)</f>
        <v>91953.609999999986</v>
      </c>
      <c r="H120" s="120"/>
      <c r="I120" s="108">
        <f t="shared" ref="I120:J120" si="42">SUM(I121:I124)</f>
        <v>99918.080000000002</v>
      </c>
      <c r="J120" s="108">
        <f t="shared" si="42"/>
        <v>99918.080000000002</v>
      </c>
    </row>
    <row r="121" spans="1:14" ht="16.5" customHeight="1">
      <c r="A121" s="28" t="s">
        <v>328</v>
      </c>
      <c r="B121" s="16" t="s">
        <v>332</v>
      </c>
      <c r="C121" s="4"/>
      <c r="D121" s="17">
        <f>SUBTOTAL(9,D122:D126)</f>
        <v>2800.0299999999997</v>
      </c>
      <c r="E121" s="13">
        <f t="shared" si="19"/>
        <v>-2800.0299999999997</v>
      </c>
      <c r="F121" s="17">
        <v>0</v>
      </c>
      <c r="G121" s="117">
        <v>70161.84</v>
      </c>
      <c r="H121" s="120"/>
      <c r="I121" s="107">
        <v>75291.289999999994</v>
      </c>
      <c r="J121" s="107">
        <v>75291.289999999994</v>
      </c>
      <c r="K121" s="132" t="s">
        <v>523</v>
      </c>
    </row>
    <row r="122" spans="1:14" ht="25.5" customHeight="1">
      <c r="A122" s="28" t="s">
        <v>46</v>
      </c>
      <c r="B122" s="16" t="s">
        <v>332</v>
      </c>
      <c r="C122" s="15" t="s">
        <v>47</v>
      </c>
      <c r="D122" s="17"/>
      <c r="E122" s="13">
        <f t="shared" si="19"/>
        <v>0</v>
      </c>
      <c r="F122" s="17">
        <v>0</v>
      </c>
      <c r="G122" s="117">
        <v>56</v>
      </c>
      <c r="H122" s="120"/>
      <c r="I122" s="107">
        <v>181.25</v>
      </c>
      <c r="J122" s="107">
        <v>181.25</v>
      </c>
      <c r="K122" s="132" t="s">
        <v>523</v>
      </c>
    </row>
    <row r="123" spans="1:14" ht="40.5" customHeight="1">
      <c r="A123" s="28" t="s">
        <v>19</v>
      </c>
      <c r="B123" s="16" t="s">
        <v>332</v>
      </c>
      <c r="C123" s="4">
        <v>244</v>
      </c>
      <c r="D123" s="69">
        <f>95+1085.2+200+1115</f>
        <v>2495.1999999999998</v>
      </c>
      <c r="E123" s="13">
        <f t="shared" si="19"/>
        <v>-2495.1999999999998</v>
      </c>
      <c r="F123" s="17">
        <v>0</v>
      </c>
      <c r="G123" s="117">
        <v>21188.87</v>
      </c>
      <c r="H123" s="120"/>
      <c r="I123" s="107">
        <v>22737.97</v>
      </c>
      <c r="J123" s="107">
        <v>22737.97</v>
      </c>
      <c r="K123" s="132" t="s">
        <v>523</v>
      </c>
    </row>
    <row r="124" spans="1:14" ht="25.5" customHeight="1">
      <c r="A124" s="28" t="s">
        <v>30</v>
      </c>
      <c r="B124" s="16" t="s">
        <v>332</v>
      </c>
      <c r="C124" s="4" t="s">
        <v>31</v>
      </c>
      <c r="D124" s="17">
        <f>16.3+35.1</f>
        <v>51.400000000000006</v>
      </c>
      <c r="E124" s="13">
        <f t="shared" si="19"/>
        <v>-51.400000000000006</v>
      </c>
      <c r="F124" s="17">
        <v>0</v>
      </c>
      <c r="G124" s="117">
        <v>546.9</v>
      </c>
      <c r="H124" s="120"/>
      <c r="I124" s="107">
        <v>1707.57</v>
      </c>
      <c r="J124" s="107">
        <v>1707.57</v>
      </c>
      <c r="K124" s="132" t="s">
        <v>523</v>
      </c>
    </row>
    <row r="125" spans="1:14" ht="20.25" customHeight="1">
      <c r="A125" s="28" t="s">
        <v>32</v>
      </c>
      <c r="B125" s="16" t="s">
        <v>332</v>
      </c>
      <c r="C125" s="4" t="s">
        <v>33</v>
      </c>
      <c r="D125" s="17">
        <v>53.43</v>
      </c>
      <c r="E125" s="13">
        <f t="shared" si="19"/>
        <v>-53.43</v>
      </c>
      <c r="F125" s="17">
        <v>0</v>
      </c>
      <c r="G125" s="17">
        <f>G126+G127</f>
        <v>250</v>
      </c>
      <c r="H125" s="120"/>
      <c r="I125" s="108">
        <f t="shared" ref="I125:J125" si="43">SUM(I126:I127)</f>
        <v>208</v>
      </c>
      <c r="J125" s="108">
        <f t="shared" si="43"/>
        <v>208</v>
      </c>
    </row>
    <row r="126" spans="1:14" ht="18" customHeight="1">
      <c r="A126" s="28" t="s">
        <v>21</v>
      </c>
      <c r="B126" s="16" t="s">
        <v>332</v>
      </c>
      <c r="C126" s="4" t="s">
        <v>22</v>
      </c>
      <c r="D126" s="17">
        <v>200</v>
      </c>
      <c r="E126" s="13">
        <f t="shared" ref="E126:E189" si="44">F126-D126</f>
        <v>-200</v>
      </c>
      <c r="F126" s="17">
        <v>0</v>
      </c>
      <c r="G126" s="117">
        <v>192</v>
      </c>
      <c r="H126" s="120"/>
      <c r="I126" s="107">
        <v>160</v>
      </c>
      <c r="J126" s="107">
        <v>160</v>
      </c>
      <c r="K126" s="129" t="s">
        <v>524</v>
      </c>
      <c r="L126" s="1">
        <f>2020.6/99</f>
        <v>20.410101010101009</v>
      </c>
      <c r="M126" s="1">
        <f>2020.6/99</f>
        <v>20.410101010101009</v>
      </c>
      <c r="N126" s="1">
        <f>2020.6/99</f>
        <v>20.410101010101009</v>
      </c>
    </row>
    <row r="127" spans="1:14" ht="24.75" customHeight="1">
      <c r="A127" s="30" t="s">
        <v>333</v>
      </c>
      <c r="B127" s="16" t="s">
        <v>334</v>
      </c>
      <c r="C127" s="4"/>
      <c r="D127" s="17">
        <f>D128</f>
        <v>7758.18</v>
      </c>
      <c r="E127" s="13">
        <f t="shared" si="44"/>
        <v>-7758.18</v>
      </c>
      <c r="F127" s="17">
        <v>0</v>
      </c>
      <c r="G127" s="117">
        <v>58</v>
      </c>
      <c r="H127" s="120"/>
      <c r="I127" s="107">
        <v>48</v>
      </c>
      <c r="J127" s="107">
        <v>48</v>
      </c>
      <c r="K127" s="129" t="s">
        <v>524</v>
      </c>
    </row>
    <row r="128" spans="1:14" ht="41.25" customHeight="1">
      <c r="A128" s="28" t="s">
        <v>210</v>
      </c>
      <c r="B128" s="16" t="s">
        <v>335</v>
      </c>
      <c r="C128" s="15"/>
      <c r="D128" s="17">
        <f>D129+D132</f>
        <v>7758.18</v>
      </c>
      <c r="E128" s="13">
        <f t="shared" si="44"/>
        <v>-7758.18</v>
      </c>
      <c r="F128" s="17">
        <v>0</v>
      </c>
      <c r="G128" s="17">
        <f>G129</f>
        <v>26610.2</v>
      </c>
      <c r="H128" s="120"/>
      <c r="I128" s="108">
        <f t="shared" ref="I128:J128" si="45">I129</f>
        <v>26838.400000000001</v>
      </c>
      <c r="J128" s="108">
        <f t="shared" si="45"/>
        <v>26838.400000000001</v>
      </c>
    </row>
    <row r="129" spans="1:20" ht="24.75" customHeight="1">
      <c r="A129" s="28" t="s">
        <v>211</v>
      </c>
      <c r="B129" s="16" t="s">
        <v>336</v>
      </c>
      <c r="C129" s="15"/>
      <c r="D129" s="17">
        <f>SUBTOTAL(9,D130:D131)</f>
        <v>7486.7000000000007</v>
      </c>
      <c r="E129" s="13">
        <f t="shared" si="44"/>
        <v>-7486.7000000000007</v>
      </c>
      <c r="F129" s="17">
        <v>0</v>
      </c>
      <c r="G129" s="117">
        <v>26610.2</v>
      </c>
      <c r="H129" s="120"/>
      <c r="I129" s="107">
        <v>26838.400000000001</v>
      </c>
      <c r="J129" s="107">
        <v>26838.400000000001</v>
      </c>
      <c r="K129" s="129" t="s">
        <v>523</v>
      </c>
    </row>
    <row r="130" spans="1:20" ht="25.5" customHeight="1">
      <c r="A130" s="28" t="s">
        <v>10</v>
      </c>
      <c r="B130" s="16" t="s">
        <v>336</v>
      </c>
      <c r="C130" s="15" t="s">
        <v>11</v>
      </c>
      <c r="D130" s="17">
        <f>6358.3-563</f>
        <v>5795.3</v>
      </c>
      <c r="E130" s="13">
        <f t="shared" si="44"/>
        <v>-5795.3</v>
      </c>
      <c r="F130" s="17">
        <v>0</v>
      </c>
      <c r="G130" s="115">
        <f>G131</f>
        <v>13267.3</v>
      </c>
      <c r="H130" s="120"/>
      <c r="I130" s="124"/>
      <c r="J130" s="124"/>
    </row>
    <row r="131" spans="1:20" ht="15" customHeight="1">
      <c r="A131" s="28" t="s">
        <v>12</v>
      </c>
      <c r="B131" s="16" t="s">
        <v>336</v>
      </c>
      <c r="C131" s="15" t="s">
        <v>13</v>
      </c>
      <c r="D131" s="17">
        <f>1861.4-170</f>
        <v>1691.4</v>
      </c>
      <c r="E131" s="13">
        <f t="shared" si="44"/>
        <v>-1691.4</v>
      </c>
      <c r="F131" s="17">
        <v>0</v>
      </c>
      <c r="G131" s="115">
        <f>G132</f>
        <v>13267.3</v>
      </c>
      <c r="H131" s="120"/>
      <c r="I131" s="124"/>
      <c r="J131" s="124"/>
    </row>
    <row r="132" spans="1:20" ht="25.5" customHeight="1">
      <c r="A132" s="28" t="s">
        <v>212</v>
      </c>
      <c r="B132" s="16" t="s">
        <v>337</v>
      </c>
      <c r="C132" s="4"/>
      <c r="D132" s="17">
        <f>SUBTOTAL(9,D133:D135)</f>
        <v>271.48</v>
      </c>
      <c r="E132" s="13">
        <f t="shared" si="44"/>
        <v>-271.48</v>
      </c>
      <c r="F132" s="17">
        <v>0</v>
      </c>
      <c r="G132" s="115">
        <v>13267.3</v>
      </c>
      <c r="H132" s="120"/>
      <c r="I132" s="124"/>
      <c r="J132" s="124"/>
    </row>
    <row r="133" spans="1:20" ht="30" customHeight="1">
      <c r="A133" s="32" t="s">
        <v>15</v>
      </c>
      <c r="B133" s="16" t="s">
        <v>337</v>
      </c>
      <c r="C133" s="15" t="s">
        <v>16</v>
      </c>
      <c r="D133" s="17"/>
      <c r="E133" s="13">
        <f t="shared" si="44"/>
        <v>0</v>
      </c>
      <c r="F133" s="17">
        <v>0</v>
      </c>
      <c r="G133" s="17">
        <f t="shared" ref="G133:G135" si="46">G134</f>
        <v>0</v>
      </c>
      <c r="H133" s="120"/>
      <c r="I133" s="108">
        <f t="shared" ref="I133:J135" si="47">I134</f>
        <v>0</v>
      </c>
      <c r="J133" s="108">
        <f t="shared" si="47"/>
        <v>0</v>
      </c>
    </row>
    <row r="134" spans="1:20" ht="25.5" customHeight="1">
      <c r="A134" s="28" t="s">
        <v>19</v>
      </c>
      <c r="B134" s="16" t="s">
        <v>337</v>
      </c>
      <c r="C134" s="4">
        <v>244</v>
      </c>
      <c r="D134" s="17">
        <f>45.48+136+90</f>
        <v>271.48</v>
      </c>
      <c r="E134" s="13">
        <f t="shared" si="44"/>
        <v>-271.48</v>
      </c>
      <c r="F134" s="17">
        <v>0</v>
      </c>
      <c r="G134" s="17">
        <f t="shared" si="46"/>
        <v>0</v>
      </c>
      <c r="H134" s="120"/>
      <c r="I134" s="108">
        <f t="shared" si="47"/>
        <v>0</v>
      </c>
      <c r="J134" s="108">
        <f t="shared" si="47"/>
        <v>0</v>
      </c>
    </row>
    <row r="135" spans="1:20" ht="25.5" customHeight="1">
      <c r="A135" s="28" t="s">
        <v>21</v>
      </c>
      <c r="B135" s="16" t="s">
        <v>337</v>
      </c>
      <c r="C135" s="4" t="s">
        <v>22</v>
      </c>
      <c r="D135" s="17"/>
      <c r="E135" s="13">
        <f t="shared" si="44"/>
        <v>0</v>
      </c>
      <c r="F135" s="17">
        <v>0</v>
      </c>
      <c r="G135" s="17">
        <f t="shared" si="46"/>
        <v>0</v>
      </c>
      <c r="H135" s="120"/>
      <c r="I135" s="108">
        <f t="shared" si="47"/>
        <v>0</v>
      </c>
      <c r="J135" s="108">
        <f t="shared" si="47"/>
        <v>0</v>
      </c>
    </row>
    <row r="136" spans="1:20" ht="38.25" customHeight="1">
      <c r="A136" s="28" t="s">
        <v>252</v>
      </c>
      <c r="B136" s="15" t="s">
        <v>257</v>
      </c>
      <c r="C136" s="7"/>
      <c r="D136" s="13">
        <f t="shared" ref="D136:D142" si="48">D137</f>
        <v>0</v>
      </c>
      <c r="E136" s="13">
        <f t="shared" si="44"/>
        <v>0</v>
      </c>
      <c r="F136" s="17">
        <v>0</v>
      </c>
      <c r="G136" s="17">
        <f>G137+G138</f>
        <v>0</v>
      </c>
      <c r="H136" s="120"/>
      <c r="I136" s="108">
        <f t="shared" ref="I136:J136" si="49">I137+I138</f>
        <v>0</v>
      </c>
      <c r="J136" s="108">
        <f t="shared" si="49"/>
        <v>0</v>
      </c>
    </row>
    <row r="137" spans="1:20" s="50" customFormat="1" ht="14.25" hidden="1" customHeight="1">
      <c r="A137" s="28" t="s">
        <v>252</v>
      </c>
      <c r="B137" s="15" t="s">
        <v>257</v>
      </c>
      <c r="C137" s="7"/>
      <c r="D137" s="13">
        <f t="shared" si="48"/>
        <v>0</v>
      </c>
      <c r="E137" s="13">
        <f t="shared" si="44"/>
        <v>0</v>
      </c>
      <c r="F137" s="17">
        <v>0</v>
      </c>
      <c r="G137" s="117"/>
      <c r="H137" s="122"/>
      <c r="I137" s="141"/>
      <c r="J137" s="141"/>
      <c r="K137" s="129" t="s">
        <v>524</v>
      </c>
    </row>
    <row r="138" spans="1:20" s="50" customFormat="1" ht="37.5" hidden="1" customHeight="1">
      <c r="A138" s="28" t="s">
        <v>252</v>
      </c>
      <c r="B138" s="7" t="s">
        <v>257</v>
      </c>
      <c r="C138" s="7"/>
      <c r="D138" s="13">
        <f t="shared" si="48"/>
        <v>0</v>
      </c>
      <c r="E138" s="13">
        <f t="shared" si="44"/>
        <v>0</v>
      </c>
      <c r="F138" s="17">
        <v>0</v>
      </c>
      <c r="G138" s="117"/>
      <c r="H138" s="122"/>
      <c r="I138" s="141"/>
      <c r="J138" s="141"/>
      <c r="K138" s="129" t="s">
        <v>524</v>
      </c>
    </row>
    <row r="139" spans="1:20" s="47" customFormat="1" ht="15" hidden="1" customHeight="1">
      <c r="A139" s="28" t="s">
        <v>252</v>
      </c>
      <c r="B139" s="7" t="s">
        <v>257</v>
      </c>
      <c r="C139" s="7"/>
      <c r="D139" s="17">
        <f t="shared" si="48"/>
        <v>0</v>
      </c>
      <c r="E139" s="13">
        <f t="shared" si="44"/>
        <v>0</v>
      </c>
      <c r="F139" s="17">
        <v>0</v>
      </c>
      <c r="G139" s="21">
        <f>G140+G192</f>
        <v>301700.73</v>
      </c>
      <c r="H139" s="121"/>
      <c r="I139" s="113">
        <f t="shared" ref="I139:J139" si="50">I140+I192</f>
        <v>407135.23</v>
      </c>
      <c r="J139" s="113">
        <f t="shared" si="50"/>
        <v>440924.81999999983</v>
      </c>
      <c r="P139" s="155">
        <f>F145+F146+F147+F148+F149+F150+F151+F153+F155+F172+F173+F175+F176+F177+F178+F180+F181+F183+F191+F196+F197</f>
        <v>114678.81000000003</v>
      </c>
      <c r="S139" s="155">
        <f t="shared" ref="S139:T139" si="51">I145+I146+I147+I148+I149+I150+I151+I153+I155+I172+I173+I175+I176+I177+I178+I180+I181+I183+I191+I196+I197</f>
        <v>407135.23000000004</v>
      </c>
      <c r="T139" s="155">
        <f t="shared" si="51"/>
        <v>440924.81999999989</v>
      </c>
    </row>
    <row r="140" spans="1:20" ht="25.5" hidden="1" customHeight="1">
      <c r="A140" s="28" t="s">
        <v>252</v>
      </c>
      <c r="B140" s="7" t="s">
        <v>257</v>
      </c>
      <c r="C140" s="7"/>
      <c r="D140" s="17">
        <f t="shared" si="48"/>
        <v>0</v>
      </c>
      <c r="E140" s="13">
        <f t="shared" si="44"/>
        <v>0</v>
      </c>
      <c r="F140" s="17">
        <v>0</v>
      </c>
      <c r="G140" s="17">
        <f>G141</f>
        <v>301700.73</v>
      </c>
      <c r="H140" s="120"/>
      <c r="I140" s="108">
        <f t="shared" ref="I140:J140" si="52">I141</f>
        <v>407135.23</v>
      </c>
      <c r="J140" s="108">
        <f t="shared" si="52"/>
        <v>440924.81999999983</v>
      </c>
    </row>
    <row r="141" spans="1:20" ht="25.5" hidden="1" customHeight="1">
      <c r="A141" s="28" t="s">
        <v>252</v>
      </c>
      <c r="B141" s="7" t="s">
        <v>257</v>
      </c>
      <c r="C141" s="16"/>
      <c r="D141" s="17">
        <f t="shared" si="48"/>
        <v>0</v>
      </c>
      <c r="E141" s="13">
        <f t="shared" si="44"/>
        <v>0</v>
      </c>
      <c r="F141" s="17">
        <v>0</v>
      </c>
      <c r="G141" s="17">
        <f>G142+G184+G189</f>
        <v>301700.73</v>
      </c>
      <c r="H141" s="120"/>
      <c r="I141" s="108">
        <f t="shared" ref="I141:J141" si="53">I142+I189</f>
        <v>407135.23</v>
      </c>
      <c r="J141" s="108">
        <f t="shared" si="53"/>
        <v>440924.81999999983</v>
      </c>
    </row>
    <row r="142" spans="1:20" ht="25.5" hidden="1" customHeight="1">
      <c r="A142" s="28" t="s">
        <v>252</v>
      </c>
      <c r="B142" s="7" t="s">
        <v>257</v>
      </c>
      <c r="C142" s="7"/>
      <c r="D142" s="17">
        <f t="shared" si="48"/>
        <v>0</v>
      </c>
      <c r="E142" s="13">
        <f t="shared" si="44"/>
        <v>0</v>
      </c>
      <c r="F142" s="17">
        <v>0</v>
      </c>
      <c r="G142" s="17">
        <f>G143+G174+G179</f>
        <v>280753.23</v>
      </c>
      <c r="H142" s="120"/>
      <c r="I142" s="108">
        <f t="shared" ref="I142:J142" si="54">I143+I170+I174+I179+I182</f>
        <v>404074.22</v>
      </c>
      <c r="J142" s="108">
        <f t="shared" si="54"/>
        <v>437455.82999999984</v>
      </c>
    </row>
    <row r="143" spans="1:20" ht="38.25" hidden="1" customHeight="1">
      <c r="A143" s="28" t="s">
        <v>252</v>
      </c>
      <c r="B143" s="7" t="s">
        <v>257</v>
      </c>
      <c r="C143" s="7"/>
      <c r="D143" s="17">
        <f>D155+D162+D172</f>
        <v>0</v>
      </c>
      <c r="E143" s="13">
        <f t="shared" si="44"/>
        <v>0</v>
      </c>
      <c r="F143" s="17">
        <v>0</v>
      </c>
      <c r="G143" s="17">
        <f>G156+G159+G168+G166</f>
        <v>60193.19</v>
      </c>
      <c r="H143" s="120"/>
      <c r="I143" s="108">
        <f t="shared" ref="I143:J143" si="55">I144+I152+I154</f>
        <v>110026.95999999996</v>
      </c>
      <c r="J143" s="108">
        <f t="shared" si="55"/>
        <v>157721.36999999994</v>
      </c>
    </row>
    <row r="144" spans="1:20" ht="28.5" hidden="1" customHeight="1">
      <c r="A144" s="28" t="s">
        <v>393</v>
      </c>
      <c r="B144" s="7" t="s">
        <v>257</v>
      </c>
      <c r="C144" s="19"/>
      <c r="D144" s="17">
        <f>D146</f>
        <v>0</v>
      </c>
      <c r="E144" s="13">
        <f t="shared" si="44"/>
        <v>0</v>
      </c>
      <c r="F144" s="17">
        <v>0</v>
      </c>
      <c r="G144" s="17"/>
      <c r="H144" s="120"/>
      <c r="I144" s="108">
        <f t="shared" ref="I144:J144" si="56">SUM(I145:I151)</f>
        <v>56516.90999999996</v>
      </c>
      <c r="J144" s="108">
        <f t="shared" si="56"/>
        <v>82970.209999999963</v>
      </c>
    </row>
    <row r="145" spans="1:11" ht="33.75" hidden="1" customHeight="1">
      <c r="A145" s="28" t="s">
        <v>252</v>
      </c>
      <c r="B145" s="7" t="s">
        <v>257</v>
      </c>
      <c r="C145" s="7"/>
      <c r="D145" s="17">
        <f>D146</f>
        <v>0</v>
      </c>
      <c r="E145" s="13">
        <f t="shared" si="44"/>
        <v>0</v>
      </c>
      <c r="F145" s="17">
        <v>0</v>
      </c>
      <c r="G145" s="17"/>
      <c r="H145" s="120"/>
      <c r="I145" s="107">
        <f t="shared" ref="I145" si="57">56416.81-26454.97</f>
        <v>29961.839999999997</v>
      </c>
      <c r="J145" s="107">
        <f>56416.81-26454.97+10820.7</f>
        <v>40782.539999999994</v>
      </c>
    </row>
    <row r="146" spans="1:11" ht="27" hidden="1" customHeight="1">
      <c r="A146" s="28" t="s">
        <v>252</v>
      </c>
      <c r="B146" s="15" t="s">
        <v>257</v>
      </c>
      <c r="C146" s="15"/>
      <c r="D146" s="17"/>
      <c r="E146" s="13">
        <f t="shared" si="44"/>
        <v>0</v>
      </c>
      <c r="F146" s="17">
        <v>0</v>
      </c>
      <c r="G146" s="17"/>
      <c r="H146" s="120"/>
      <c r="I146" s="107">
        <v>490</v>
      </c>
      <c r="J146" s="107">
        <v>490</v>
      </c>
    </row>
    <row r="147" spans="1:11" ht="41.25" hidden="1" customHeight="1">
      <c r="A147" s="28" t="s">
        <v>252</v>
      </c>
      <c r="B147" s="7" t="s">
        <v>257</v>
      </c>
      <c r="C147" s="15"/>
      <c r="D147" s="17"/>
      <c r="E147" s="13">
        <f t="shared" si="44"/>
        <v>0</v>
      </c>
      <c r="F147" s="17">
        <v>0</v>
      </c>
      <c r="G147" s="17"/>
      <c r="H147" s="120"/>
      <c r="I147" s="107">
        <f t="shared" ref="I147" si="58">17037.88-7989.4</f>
        <v>9048.4800000000014</v>
      </c>
      <c r="J147" s="107">
        <f>17037.88-7989.4+3267.81</f>
        <v>12316.29</v>
      </c>
    </row>
    <row r="148" spans="1:11" ht="24.75" hidden="1" customHeight="1">
      <c r="A148" s="28" t="s">
        <v>252</v>
      </c>
      <c r="B148" s="15" t="s">
        <v>257</v>
      </c>
      <c r="C148" s="54"/>
      <c r="D148" s="17">
        <f t="shared" ref="D148:D155" si="59">D149</f>
        <v>0</v>
      </c>
      <c r="E148" s="13">
        <f t="shared" si="44"/>
        <v>0</v>
      </c>
      <c r="F148" s="17">
        <v>0</v>
      </c>
      <c r="G148" s="17"/>
      <c r="H148" s="120"/>
      <c r="I148" s="107">
        <f>188111.08-29961.84-490-9048.48-9603.04-55.32-53510.05-21241.11-35249.87-8756.55-471.8-1763.08-10551.71-50</f>
        <v>7358.2299999999595</v>
      </c>
      <c r="J148" s="107">
        <f t="shared" ref="J148" si="60">188111.08-29961.84-490-9048.48-9603.04-55.32-53510.05-21241.11-35249.87-8756.55-471.8</f>
        <v>19723.01999999996</v>
      </c>
      <c r="K148" s="139"/>
    </row>
    <row r="149" spans="1:11" ht="27.75" hidden="1" customHeight="1">
      <c r="A149" s="28" t="s">
        <v>252</v>
      </c>
      <c r="B149" s="7" t="s">
        <v>257</v>
      </c>
      <c r="C149" s="4"/>
      <c r="D149" s="17">
        <f t="shared" si="59"/>
        <v>0</v>
      </c>
      <c r="E149" s="13">
        <f t="shared" si="44"/>
        <v>0</v>
      </c>
      <c r="F149" s="17">
        <v>0</v>
      </c>
      <c r="G149" s="17"/>
      <c r="H149" s="120"/>
      <c r="I149" s="107">
        <f t="shared" ref="I149:J149" si="61">9658.36-55.32</f>
        <v>9603.0400000000009</v>
      </c>
      <c r="J149" s="107">
        <f t="shared" si="61"/>
        <v>9603.0400000000009</v>
      </c>
    </row>
    <row r="150" spans="1:11" ht="15.75" hidden="1" customHeight="1">
      <c r="A150" s="28" t="s">
        <v>393</v>
      </c>
      <c r="B150" s="15" t="s">
        <v>257</v>
      </c>
      <c r="C150" s="15"/>
      <c r="D150" s="17">
        <f t="shared" si="59"/>
        <v>0</v>
      </c>
      <c r="E150" s="13">
        <f t="shared" si="44"/>
        <v>0</v>
      </c>
      <c r="F150" s="17">
        <v>0</v>
      </c>
      <c r="G150" s="17"/>
      <c r="H150" s="120"/>
      <c r="I150" s="107">
        <v>55.32</v>
      </c>
      <c r="J150" s="107">
        <v>55.32</v>
      </c>
    </row>
    <row r="151" spans="1:11" ht="15.75" hidden="1" customHeight="1">
      <c r="A151" s="28" t="s">
        <v>252</v>
      </c>
      <c r="B151" s="7" t="s">
        <v>257</v>
      </c>
      <c r="C151" s="7"/>
      <c r="D151" s="17">
        <f t="shared" si="59"/>
        <v>0</v>
      </c>
      <c r="E151" s="13">
        <f t="shared" si="44"/>
        <v>0</v>
      </c>
      <c r="F151" s="17">
        <v>0</v>
      </c>
      <c r="G151" s="17"/>
      <c r="H151" s="120"/>
      <c r="I151" s="107"/>
      <c r="J151" s="107"/>
    </row>
    <row r="152" spans="1:11" ht="25.5" hidden="1" customHeight="1">
      <c r="A152" s="28" t="s">
        <v>252</v>
      </c>
      <c r="B152" s="15" t="s">
        <v>257</v>
      </c>
      <c r="C152" s="15"/>
      <c r="D152" s="17">
        <f t="shared" si="59"/>
        <v>0</v>
      </c>
      <c r="E152" s="13">
        <f t="shared" si="44"/>
        <v>0</v>
      </c>
      <c r="F152" s="17">
        <v>0</v>
      </c>
      <c r="G152" s="17"/>
      <c r="H152" s="120"/>
      <c r="I152" s="108">
        <f t="shared" ref="I152:J152" si="62">SUM(I153)</f>
        <v>53510.05</v>
      </c>
      <c r="J152" s="108">
        <f t="shared" si="62"/>
        <v>53510.05</v>
      </c>
    </row>
    <row r="153" spans="1:11" ht="27" hidden="1" customHeight="1">
      <c r="A153" s="28" t="s">
        <v>252</v>
      </c>
      <c r="B153" s="7" t="s">
        <v>257</v>
      </c>
      <c r="C153" s="15"/>
      <c r="D153" s="17">
        <f t="shared" si="59"/>
        <v>0</v>
      </c>
      <c r="E153" s="13">
        <f t="shared" si="44"/>
        <v>0</v>
      </c>
      <c r="F153" s="17">
        <v>0</v>
      </c>
      <c r="G153" s="17"/>
      <c r="H153" s="120"/>
      <c r="I153" s="107">
        <f t="shared" ref="I153:J153" si="63">49941.8+3568.25</f>
        <v>53510.05</v>
      </c>
      <c r="J153" s="107">
        <f t="shared" si="63"/>
        <v>53510.05</v>
      </c>
    </row>
    <row r="154" spans="1:11" ht="27" hidden="1" customHeight="1">
      <c r="A154" s="28" t="s">
        <v>252</v>
      </c>
      <c r="B154" s="15" t="s">
        <v>257</v>
      </c>
      <c r="C154" s="15"/>
      <c r="D154" s="17">
        <f t="shared" si="59"/>
        <v>0</v>
      </c>
      <c r="E154" s="13">
        <f t="shared" si="44"/>
        <v>0</v>
      </c>
      <c r="F154" s="17">
        <v>0</v>
      </c>
      <c r="G154" s="117"/>
      <c r="H154" s="140"/>
      <c r="I154" s="108">
        <f t="shared" ref="I154:J154" si="64">I155</f>
        <v>0</v>
      </c>
      <c r="J154" s="108">
        <f t="shared" si="64"/>
        <v>21241.11</v>
      </c>
    </row>
    <row r="155" spans="1:11" ht="27" customHeight="1">
      <c r="A155" s="46" t="s">
        <v>38</v>
      </c>
      <c r="B155" s="39" t="s">
        <v>614</v>
      </c>
      <c r="C155" s="7"/>
      <c r="D155" s="13">
        <f t="shared" si="59"/>
        <v>0</v>
      </c>
      <c r="E155" s="13">
        <f t="shared" si="44"/>
        <v>1227.27</v>
      </c>
      <c r="F155" s="13">
        <f>F156</f>
        <v>1227.27</v>
      </c>
      <c r="G155" s="17"/>
      <c r="H155" s="120"/>
      <c r="I155" s="107"/>
      <c r="J155" s="107">
        <v>21241.11</v>
      </c>
    </row>
    <row r="156" spans="1:11" ht="25.5" hidden="1" customHeight="1">
      <c r="A156" s="46" t="s">
        <v>38</v>
      </c>
      <c r="B156" s="39" t="s">
        <v>614</v>
      </c>
      <c r="C156" s="7"/>
      <c r="D156" s="17">
        <f>D166</f>
        <v>0</v>
      </c>
      <c r="E156" s="13">
        <f t="shared" si="44"/>
        <v>1227.27</v>
      </c>
      <c r="F156" s="17">
        <f>F157</f>
        <v>1227.27</v>
      </c>
      <c r="G156" s="115">
        <f>SUBTOTAL(9,G157:G158)</f>
        <v>11281.47</v>
      </c>
      <c r="H156" s="120"/>
      <c r="I156" s="124"/>
      <c r="J156" s="124"/>
    </row>
    <row r="157" spans="1:11" ht="13.5" customHeight="1">
      <c r="A157" s="28" t="s">
        <v>45</v>
      </c>
      <c r="B157" s="16" t="s">
        <v>615</v>
      </c>
      <c r="C157" s="15"/>
      <c r="D157" s="13">
        <f>D164+D167</f>
        <v>0</v>
      </c>
      <c r="E157" s="13">
        <f t="shared" si="44"/>
        <v>1227.27</v>
      </c>
      <c r="F157" s="13">
        <f>F158</f>
        <v>1227.27</v>
      </c>
      <c r="G157" s="115">
        <f>54130.71-45258</f>
        <v>8872.7099999999991</v>
      </c>
      <c r="H157" s="120"/>
      <c r="I157" s="124"/>
      <c r="J157" s="124"/>
    </row>
    <row r="158" spans="1:11" ht="38.25" customHeight="1">
      <c r="A158" s="28" t="s">
        <v>275</v>
      </c>
      <c r="B158" s="39" t="s">
        <v>615</v>
      </c>
      <c r="C158" s="7"/>
      <c r="D158" s="17"/>
      <c r="E158" s="13">
        <f t="shared" si="44"/>
        <v>1227.27</v>
      </c>
      <c r="F158" s="17">
        <f>F159</f>
        <v>1227.27</v>
      </c>
      <c r="G158" s="115">
        <f>16084.76-13676</f>
        <v>2408.7600000000002</v>
      </c>
      <c r="H158" s="120"/>
      <c r="I158" s="124"/>
      <c r="J158" s="124"/>
    </row>
    <row r="159" spans="1:11" ht="25.5" customHeight="1">
      <c r="A159" s="28" t="s">
        <v>541</v>
      </c>
      <c r="B159" s="16" t="s">
        <v>616</v>
      </c>
      <c r="C159" s="15"/>
      <c r="D159" s="13"/>
      <c r="E159" s="13">
        <f t="shared" si="44"/>
        <v>1227.27</v>
      </c>
      <c r="F159" s="13">
        <f>F160+F161+F162+F163+F164</f>
        <v>1227.27</v>
      </c>
      <c r="G159" s="115">
        <f>SUM(G160:G165)</f>
        <v>31795.060000000005</v>
      </c>
      <c r="H159" s="120"/>
      <c r="I159" s="124"/>
      <c r="J159" s="124"/>
    </row>
    <row r="160" spans="1:11" ht="25.5" customHeight="1">
      <c r="A160" s="161" t="s">
        <v>489</v>
      </c>
      <c r="B160" s="16" t="s">
        <v>616</v>
      </c>
      <c r="C160" s="7" t="s">
        <v>42</v>
      </c>
      <c r="D160" s="13"/>
      <c r="E160" s="13">
        <f t="shared" si="44"/>
        <v>904.08999999999992</v>
      </c>
      <c r="F160" s="13">
        <f>1071.36-167.27</f>
        <v>904.08999999999992</v>
      </c>
      <c r="G160" s="115"/>
      <c r="H160" s="120"/>
      <c r="I160" s="124"/>
      <c r="J160" s="124"/>
    </row>
    <row r="161" spans="1:11" ht="38.25" customHeight="1">
      <c r="A161" s="28" t="s">
        <v>46</v>
      </c>
      <c r="B161" s="16" t="s">
        <v>616</v>
      </c>
      <c r="C161" s="7" t="s">
        <v>47</v>
      </c>
      <c r="D161" s="13"/>
      <c r="E161" s="13">
        <f t="shared" si="44"/>
        <v>33.6</v>
      </c>
      <c r="F161" s="13">
        <v>33.6</v>
      </c>
      <c r="G161" s="115"/>
      <c r="H161" s="120"/>
      <c r="I161" s="124"/>
      <c r="J161" s="124"/>
    </row>
    <row r="162" spans="1:11" ht="25.5" customHeight="1">
      <c r="A162" s="28" t="s">
        <v>276</v>
      </c>
      <c r="B162" s="16" t="s">
        <v>616</v>
      </c>
      <c r="C162" s="7" t="s">
        <v>44</v>
      </c>
      <c r="D162" s="13"/>
      <c r="E162" s="13">
        <f t="shared" si="44"/>
        <v>273.04000000000002</v>
      </c>
      <c r="F162" s="13">
        <f>323.55-50.51</f>
        <v>273.04000000000002</v>
      </c>
      <c r="G162" s="115">
        <f>152.4+9627.5+2721.4+3707.9+172+4383.8-5161.42-90.68+2632.46</f>
        <v>18145.36</v>
      </c>
      <c r="H162" s="120"/>
      <c r="I162" s="124"/>
      <c r="J162" s="124"/>
    </row>
    <row r="163" spans="1:11" ht="25.5" customHeight="1">
      <c r="A163" s="161" t="s">
        <v>491</v>
      </c>
      <c r="B163" s="16" t="s">
        <v>616</v>
      </c>
      <c r="C163" s="7" t="s">
        <v>20</v>
      </c>
      <c r="D163" s="13"/>
      <c r="E163" s="13">
        <f t="shared" si="44"/>
        <v>16.219999999999963</v>
      </c>
      <c r="F163" s="13">
        <f>1445.05-1428.51-0.32</f>
        <v>16.219999999999963</v>
      </c>
      <c r="G163" s="115">
        <f>13576.12</f>
        <v>13576.12</v>
      </c>
      <c r="H163" s="120"/>
      <c r="I163" s="124"/>
      <c r="J163" s="124"/>
    </row>
    <row r="164" spans="1:11" ht="15" customHeight="1">
      <c r="A164" s="28" t="s">
        <v>32</v>
      </c>
      <c r="B164" s="16" t="s">
        <v>616</v>
      </c>
      <c r="C164" s="7" t="s">
        <v>33</v>
      </c>
      <c r="D164" s="13"/>
      <c r="E164" s="13">
        <f t="shared" si="44"/>
        <v>0.32</v>
      </c>
      <c r="F164" s="13">
        <v>0.32</v>
      </c>
      <c r="G164" s="115">
        <v>73.58</v>
      </c>
      <c r="H164" s="120"/>
      <c r="I164" s="124"/>
      <c r="J164" s="124"/>
    </row>
    <row r="165" spans="1:11" ht="15" customHeight="1">
      <c r="A165" s="28" t="s">
        <v>545</v>
      </c>
      <c r="B165" s="39" t="s">
        <v>616</v>
      </c>
      <c r="C165" s="7"/>
      <c r="D165" s="17"/>
      <c r="E165" s="13">
        <f t="shared" si="44"/>
        <v>7285.0999999999985</v>
      </c>
      <c r="F165" s="17">
        <f>SUM(F166:F172)</f>
        <v>7285.0999999999985</v>
      </c>
      <c r="G165" s="115"/>
      <c r="H165" s="120"/>
      <c r="I165" s="124"/>
      <c r="J165" s="124"/>
    </row>
    <row r="166" spans="1:11" ht="25.5" customHeight="1">
      <c r="A166" s="161" t="s">
        <v>489</v>
      </c>
      <c r="B166" s="39" t="s">
        <v>616</v>
      </c>
      <c r="C166" s="15" t="s">
        <v>42</v>
      </c>
      <c r="D166" s="17"/>
      <c r="E166" s="13">
        <f t="shared" si="44"/>
        <v>4861.38</v>
      </c>
      <c r="F166" s="17">
        <f>6701.31-1839.93</f>
        <v>4861.38</v>
      </c>
      <c r="G166" s="115">
        <f>G167</f>
        <v>17116.66</v>
      </c>
      <c r="H166" s="120"/>
      <c r="I166" s="124"/>
      <c r="J166" s="124"/>
    </row>
    <row r="167" spans="1:11" ht="25.5" customHeight="1">
      <c r="A167" s="28" t="s">
        <v>46</v>
      </c>
      <c r="B167" s="39" t="s">
        <v>616</v>
      </c>
      <c r="C167" s="15" t="s">
        <v>47</v>
      </c>
      <c r="D167" s="17"/>
      <c r="E167" s="13">
        <f t="shared" si="44"/>
        <v>537.6</v>
      </c>
      <c r="F167" s="17">
        <v>537.6</v>
      </c>
      <c r="G167" s="115">
        <f>22354.8-4760.64-492.5+15</f>
        <v>17116.66</v>
      </c>
      <c r="H167" s="120"/>
      <c r="I167" s="124"/>
      <c r="J167" s="124"/>
    </row>
    <row r="168" spans="1:11" ht="25.5" customHeight="1">
      <c r="A168" s="28" t="s">
        <v>276</v>
      </c>
      <c r="B168" s="39" t="s">
        <v>616</v>
      </c>
      <c r="C168" s="7" t="s">
        <v>44</v>
      </c>
      <c r="D168" s="17"/>
      <c r="E168" s="13">
        <f t="shared" si="44"/>
        <v>1468.1399999999999</v>
      </c>
      <c r="F168" s="17">
        <f>2023.8-555.66</f>
        <v>1468.1399999999999</v>
      </c>
      <c r="G168" s="115">
        <f>G169</f>
        <v>0</v>
      </c>
      <c r="H168" s="120"/>
      <c r="I168" s="124"/>
      <c r="J168" s="124"/>
    </row>
    <row r="169" spans="1:11" ht="25.5" customHeight="1">
      <c r="A169" s="161" t="s">
        <v>491</v>
      </c>
      <c r="B169" s="39" t="s">
        <v>616</v>
      </c>
      <c r="C169" s="7" t="s">
        <v>20</v>
      </c>
      <c r="D169" s="17"/>
      <c r="E169" s="13">
        <f t="shared" si="44"/>
        <v>395.97999999999809</v>
      </c>
      <c r="F169" s="17">
        <f>3822.29+5858.4-8725.11-537.6-22</f>
        <v>395.97999999999809</v>
      </c>
      <c r="G169" s="115"/>
      <c r="H169" s="120"/>
      <c r="I169" s="124"/>
      <c r="J169" s="124"/>
    </row>
    <row r="170" spans="1:11" ht="17.25" customHeight="1">
      <c r="A170" s="28" t="s">
        <v>30</v>
      </c>
      <c r="B170" s="39" t="s">
        <v>616</v>
      </c>
      <c r="C170" s="7" t="s">
        <v>31</v>
      </c>
      <c r="D170" s="17"/>
      <c r="E170" s="13">
        <f t="shared" si="44"/>
        <v>22</v>
      </c>
      <c r="F170" s="17">
        <v>22</v>
      </c>
      <c r="G170" s="117"/>
      <c r="H170" s="120"/>
      <c r="I170" s="108">
        <f t="shared" ref="I170:J170" si="65">I171</f>
        <v>9228.3499999999985</v>
      </c>
      <c r="J170" s="108">
        <f t="shared" si="65"/>
        <v>9228.3499999999985</v>
      </c>
    </row>
    <row r="171" spans="1:11" ht="25.5" customHeight="1">
      <c r="A171" s="28" t="s">
        <v>32</v>
      </c>
      <c r="B171" s="39" t="s">
        <v>616</v>
      </c>
      <c r="C171" s="4" t="s">
        <v>33</v>
      </c>
      <c r="D171" s="17"/>
      <c r="E171" s="13">
        <f t="shared" si="44"/>
        <v>0</v>
      </c>
      <c r="F171" s="17">
        <v>0</v>
      </c>
      <c r="G171" s="117"/>
      <c r="H171" s="120"/>
      <c r="I171" s="108">
        <f t="shared" ref="I171:J171" si="66">SUM(I172:I173)</f>
        <v>9228.3499999999985</v>
      </c>
      <c r="J171" s="108">
        <f t="shared" si="66"/>
        <v>9228.3499999999985</v>
      </c>
    </row>
    <row r="172" spans="1:11" ht="25.5" customHeight="1">
      <c r="A172" s="28" t="s">
        <v>21</v>
      </c>
      <c r="B172" s="39" t="s">
        <v>616</v>
      </c>
      <c r="C172" s="4" t="s">
        <v>22</v>
      </c>
      <c r="D172" s="17"/>
      <c r="E172" s="13">
        <f t="shared" si="44"/>
        <v>0</v>
      </c>
      <c r="F172" s="17">
        <v>0</v>
      </c>
      <c r="G172" s="117"/>
      <c r="H172" s="120"/>
      <c r="I172" s="107">
        <v>8756.5499999999993</v>
      </c>
      <c r="J172" s="107">
        <v>8756.5499999999993</v>
      </c>
    </row>
    <row r="173" spans="1:11" ht="25.5" customHeight="1">
      <c r="A173" s="28" t="s">
        <v>109</v>
      </c>
      <c r="B173" s="16" t="s">
        <v>617</v>
      </c>
      <c r="C173" s="4"/>
      <c r="D173" s="17">
        <f>D183+D186</f>
        <v>189009.88</v>
      </c>
      <c r="E173" s="13">
        <f t="shared" si="44"/>
        <v>-171666.59</v>
      </c>
      <c r="F173" s="17">
        <f>F174+F183</f>
        <v>17343.29</v>
      </c>
      <c r="G173" s="117"/>
      <c r="H173" s="120"/>
      <c r="I173" s="107">
        <v>471.8</v>
      </c>
      <c r="J173" s="107">
        <v>471.8</v>
      </c>
    </row>
    <row r="174" spans="1:11" ht="45.75" customHeight="1">
      <c r="A174" s="28" t="s">
        <v>110</v>
      </c>
      <c r="B174" s="16" t="s">
        <v>618</v>
      </c>
      <c r="C174" s="4"/>
      <c r="D174" s="17"/>
      <c r="E174" s="13">
        <f t="shared" si="44"/>
        <v>8419.9500000000007</v>
      </c>
      <c r="F174" s="17">
        <f>F175+F181</f>
        <v>8419.9500000000007</v>
      </c>
      <c r="G174" s="17">
        <f>SUBTOTAL(9,G175:G178)</f>
        <v>218554.28999999998</v>
      </c>
      <c r="H174" s="120"/>
      <c r="I174" s="108">
        <f t="shared" ref="I174:J174" si="67">SUM(I175:I178)</f>
        <v>278707.58</v>
      </c>
      <c r="J174" s="108">
        <f t="shared" si="67"/>
        <v>264394.77999999997</v>
      </c>
    </row>
    <row r="175" spans="1:11" ht="13.5" customHeight="1">
      <c r="A175" s="28" t="s">
        <v>546</v>
      </c>
      <c r="B175" s="16" t="s">
        <v>619</v>
      </c>
      <c r="C175" s="4"/>
      <c r="D175" s="17"/>
      <c r="E175" s="13">
        <f t="shared" si="44"/>
        <v>5730.18</v>
      </c>
      <c r="F175" s="17">
        <f>SUM(F176:F180)</f>
        <v>5730.18</v>
      </c>
      <c r="G175" s="117">
        <f>256863.52+3392.17+1024.43-97627.6</f>
        <v>163652.51999999999</v>
      </c>
      <c r="H175" s="120"/>
      <c r="I175" s="107">
        <f>257671.86-44896.3</f>
        <v>212775.56</v>
      </c>
      <c r="J175" s="107">
        <f>257671.86-55889.2</f>
        <v>201782.65999999997</v>
      </c>
      <c r="K175" s="132" t="s">
        <v>523</v>
      </c>
    </row>
    <row r="176" spans="1:11" ht="25.5" customHeight="1">
      <c r="A176" s="161" t="s">
        <v>489</v>
      </c>
      <c r="B176" s="16" t="s">
        <v>619</v>
      </c>
      <c r="C176" s="7" t="s">
        <v>11</v>
      </c>
      <c r="D176" s="17"/>
      <c r="E176" s="13">
        <f t="shared" si="44"/>
        <v>2582.71</v>
      </c>
      <c r="F176" s="17">
        <f>3419.04-836.33</f>
        <v>2582.71</v>
      </c>
      <c r="G176" s="117">
        <v>840</v>
      </c>
      <c r="H176" s="120"/>
      <c r="I176" s="107">
        <v>731.25</v>
      </c>
      <c r="J176" s="107">
        <v>731.25</v>
      </c>
      <c r="K176" s="132" t="s">
        <v>523</v>
      </c>
    </row>
    <row r="177" spans="1:14" ht="39.75" customHeight="1">
      <c r="A177" s="32" t="s">
        <v>15</v>
      </c>
      <c r="B177" s="16" t="s">
        <v>619</v>
      </c>
      <c r="C177" s="7" t="s">
        <v>16</v>
      </c>
      <c r="D177" s="17"/>
      <c r="E177" s="13">
        <f t="shared" si="44"/>
        <v>90</v>
      </c>
      <c r="F177" s="17">
        <v>90</v>
      </c>
      <c r="G177" s="117">
        <f>77572.78-29483.5</f>
        <v>48089.279999999999</v>
      </c>
      <c r="H177" s="120"/>
      <c r="I177" s="107">
        <f>77816.9-13558.7</f>
        <v>64258.2</v>
      </c>
      <c r="J177" s="107">
        <f>77816.9-16878.6</f>
        <v>60938.299999999996</v>
      </c>
      <c r="K177" s="132" t="s">
        <v>523</v>
      </c>
    </row>
    <row r="178" spans="1:14" ht="25.5" customHeight="1">
      <c r="A178" s="28" t="s">
        <v>12</v>
      </c>
      <c r="B178" s="16" t="s">
        <v>619</v>
      </c>
      <c r="C178" s="7" t="s">
        <v>13</v>
      </c>
      <c r="D178" s="17"/>
      <c r="E178" s="13">
        <f t="shared" si="44"/>
        <v>779.98</v>
      </c>
      <c r="F178" s="17">
        <f>1032.55-252.57</f>
        <v>779.98</v>
      </c>
      <c r="G178" s="117">
        <v>5972.49</v>
      </c>
      <c r="H178" s="120"/>
      <c r="I178" s="107">
        <v>942.57</v>
      </c>
      <c r="J178" s="107">
        <v>942.57</v>
      </c>
      <c r="K178" s="132" t="s">
        <v>523</v>
      </c>
    </row>
    <row r="179" spans="1:14" ht="38.25" customHeight="1">
      <c r="A179" s="28" t="s">
        <v>19</v>
      </c>
      <c r="B179" s="16" t="s">
        <v>619</v>
      </c>
      <c r="C179" s="7" t="s">
        <v>20</v>
      </c>
      <c r="D179" s="17"/>
      <c r="E179" s="13">
        <f t="shared" si="44"/>
        <v>2008.1300000000003</v>
      </c>
      <c r="F179" s="17">
        <f>9508.85-2582.71-90-779.98-269.36-2689.77-836.33-252.57</f>
        <v>2008.1300000000003</v>
      </c>
      <c r="G179" s="17">
        <f>SUBTOTAL(9,G180:G181)</f>
        <v>2005.75</v>
      </c>
      <c r="H179" s="120"/>
      <c r="I179" s="108">
        <f t="shared" ref="I179:J179" si="68">I180+I181</f>
        <v>1799.41</v>
      </c>
      <c r="J179" s="108">
        <f t="shared" si="68"/>
        <v>1799.41</v>
      </c>
    </row>
    <row r="180" spans="1:14" ht="18.75" customHeight="1">
      <c r="A180" s="28" t="s">
        <v>30</v>
      </c>
      <c r="B180" s="16" t="s">
        <v>619</v>
      </c>
      <c r="C180" s="4" t="s">
        <v>31</v>
      </c>
      <c r="D180" s="17"/>
      <c r="E180" s="13">
        <f t="shared" si="44"/>
        <v>269.36</v>
      </c>
      <c r="F180" s="17">
        <v>269.36</v>
      </c>
      <c r="G180" s="117">
        <f>1520.7+19.8</f>
        <v>1540.5</v>
      </c>
      <c r="H180" s="120"/>
      <c r="I180" s="107">
        <f t="shared" ref="I180:J180" si="69">1367+15.7</f>
        <v>1382.7</v>
      </c>
      <c r="J180" s="107">
        <f t="shared" si="69"/>
        <v>1382.7</v>
      </c>
      <c r="K180" s="142" t="s">
        <v>524</v>
      </c>
    </row>
    <row r="181" spans="1:14" ht="41.25" customHeight="1">
      <c r="A181" s="14" t="s">
        <v>297</v>
      </c>
      <c r="B181" s="16" t="s">
        <v>620</v>
      </c>
      <c r="C181" s="7"/>
      <c r="D181" s="17"/>
      <c r="E181" s="13">
        <f t="shared" si="44"/>
        <v>2689.77</v>
      </c>
      <c r="F181" s="17">
        <f>F182</f>
        <v>2689.77</v>
      </c>
      <c r="G181" s="117">
        <f>459.3+5.95</f>
        <v>465.25</v>
      </c>
      <c r="H181" s="120"/>
      <c r="I181" s="107">
        <f t="shared" ref="I181:J181" si="70">412+4.71</f>
        <v>416.71</v>
      </c>
      <c r="J181" s="107">
        <f t="shared" si="70"/>
        <v>416.71</v>
      </c>
      <c r="K181" s="142" t="s">
        <v>524</v>
      </c>
    </row>
    <row r="182" spans="1:14" ht="35.25" customHeight="1">
      <c r="A182" s="28" t="s">
        <v>19</v>
      </c>
      <c r="B182" s="16" t="s">
        <v>620</v>
      </c>
      <c r="C182" s="7" t="s">
        <v>20</v>
      </c>
      <c r="D182" s="17"/>
      <c r="E182" s="13">
        <f t="shared" si="44"/>
        <v>2689.77</v>
      </c>
      <c r="F182" s="17">
        <v>2689.77</v>
      </c>
      <c r="G182" s="117"/>
      <c r="H182" s="120"/>
      <c r="I182" s="108">
        <f t="shared" ref="I182:J182" si="71">I183</f>
        <v>4311.92</v>
      </c>
      <c r="J182" s="108">
        <f t="shared" si="71"/>
        <v>4311.92</v>
      </c>
      <c r="K182" s="142"/>
    </row>
    <row r="183" spans="1:14" ht="27.75" customHeight="1">
      <c r="A183" s="28" t="s">
        <v>56</v>
      </c>
      <c r="B183" s="16" t="s">
        <v>621</v>
      </c>
      <c r="C183" s="4"/>
      <c r="D183" s="17">
        <f>SUBTOTAL(9,D184:D185)</f>
        <v>8385</v>
      </c>
      <c r="E183" s="13">
        <f t="shared" si="44"/>
        <v>538.34000000000015</v>
      </c>
      <c r="F183" s="17">
        <f>F184+F185</f>
        <v>8923.34</v>
      </c>
      <c r="G183" s="117"/>
      <c r="H183" s="120"/>
      <c r="I183" s="107">
        <f t="shared" ref="I183:J183" si="72">4268.8+43.12</f>
        <v>4311.92</v>
      </c>
      <c r="J183" s="107">
        <f t="shared" si="72"/>
        <v>4311.92</v>
      </c>
      <c r="K183" s="129" t="s">
        <v>524</v>
      </c>
      <c r="L183" s="1">
        <f>4268.8/99</f>
        <v>43.11919191919192</v>
      </c>
      <c r="M183" s="1">
        <f t="shared" ref="M183:N183" si="73">4268.8/99</f>
        <v>43.11919191919192</v>
      </c>
      <c r="N183" s="1">
        <f t="shared" si="73"/>
        <v>43.11919191919192</v>
      </c>
    </row>
    <row r="184" spans="1:14" ht="25.5" customHeight="1">
      <c r="A184" s="28" t="s">
        <v>10</v>
      </c>
      <c r="B184" s="16" t="s">
        <v>621</v>
      </c>
      <c r="C184" s="15" t="s">
        <v>11</v>
      </c>
      <c r="D184" s="17">
        <v>6440.1</v>
      </c>
      <c r="E184" s="13">
        <f t="shared" si="44"/>
        <v>413.46000000000004</v>
      </c>
      <c r="F184" s="17">
        <v>6853.56</v>
      </c>
      <c r="G184" s="115">
        <f>G185+G187</f>
        <v>16628.7</v>
      </c>
      <c r="H184" s="120"/>
      <c r="I184" s="124"/>
      <c r="J184" s="124"/>
    </row>
    <row r="185" spans="1:14" ht="38.25" customHeight="1">
      <c r="A185" s="28" t="s">
        <v>12</v>
      </c>
      <c r="B185" s="16" t="s">
        <v>621</v>
      </c>
      <c r="C185" s="15" t="s">
        <v>13</v>
      </c>
      <c r="D185" s="17">
        <v>1944.9</v>
      </c>
      <c r="E185" s="13">
        <f t="shared" si="44"/>
        <v>124.88000000000011</v>
      </c>
      <c r="F185" s="17">
        <v>2069.7800000000002</v>
      </c>
      <c r="G185" s="115">
        <f>G186</f>
        <v>11723.5</v>
      </c>
      <c r="H185" s="120"/>
      <c r="I185" s="124"/>
      <c r="J185" s="124"/>
      <c r="K185" s="129"/>
    </row>
    <row r="186" spans="1:14" ht="25.5" customHeight="1">
      <c r="A186" s="28" t="s">
        <v>256</v>
      </c>
      <c r="B186" s="15" t="s">
        <v>258</v>
      </c>
      <c r="C186" s="7"/>
      <c r="D186" s="13">
        <f>D187</f>
        <v>180624.88</v>
      </c>
      <c r="E186" s="13">
        <f t="shared" si="44"/>
        <v>-171628.75</v>
      </c>
      <c r="F186" s="13">
        <f>F187</f>
        <v>8996.130000000001</v>
      </c>
      <c r="G186" s="115">
        <f>11755.3-31.8</f>
        <v>11723.5</v>
      </c>
      <c r="H186" s="120"/>
      <c r="I186" s="124"/>
      <c r="J186" s="124"/>
      <c r="K186" s="129"/>
    </row>
    <row r="187" spans="1:14" ht="25.5" hidden="1" customHeight="1">
      <c r="A187" s="28" t="s">
        <v>256</v>
      </c>
      <c r="B187" s="15" t="s">
        <v>258</v>
      </c>
      <c r="C187" s="7"/>
      <c r="D187" s="17">
        <f>D188++D220</f>
        <v>180624.88</v>
      </c>
      <c r="E187" s="13">
        <f t="shared" si="44"/>
        <v>-171628.75</v>
      </c>
      <c r="F187" s="17">
        <f>F188</f>
        <v>8996.130000000001</v>
      </c>
      <c r="G187" s="115">
        <f>G188</f>
        <v>4905.2000000000007</v>
      </c>
      <c r="H187" s="120"/>
      <c r="I187" s="124"/>
      <c r="J187" s="124"/>
      <c r="K187" s="129"/>
    </row>
    <row r="188" spans="1:14" ht="25.5" hidden="1" customHeight="1">
      <c r="A188" s="28" t="s">
        <v>256</v>
      </c>
      <c r="B188" s="15" t="s">
        <v>258</v>
      </c>
      <c r="C188" s="7"/>
      <c r="D188" s="17">
        <f>D189+D231+D236</f>
        <v>159436.01</v>
      </c>
      <c r="E188" s="13">
        <f t="shared" si="44"/>
        <v>-150439.88</v>
      </c>
      <c r="F188" s="17">
        <f>F189+F236</f>
        <v>8996.130000000001</v>
      </c>
      <c r="G188" s="115">
        <f>4856.1+49.1</f>
        <v>4905.2000000000007</v>
      </c>
      <c r="H188" s="120"/>
      <c r="I188" s="124"/>
      <c r="J188" s="124"/>
      <c r="K188" s="129"/>
    </row>
    <row r="189" spans="1:14" ht="25.5" hidden="1" customHeight="1">
      <c r="A189" s="28" t="s">
        <v>256</v>
      </c>
      <c r="B189" s="15" t="s">
        <v>258</v>
      </c>
      <c r="C189" s="16"/>
      <c r="D189" s="17">
        <f>D190</f>
        <v>159436.01</v>
      </c>
      <c r="E189" s="13">
        <f t="shared" si="44"/>
        <v>-150439.88</v>
      </c>
      <c r="F189" s="17">
        <f>F190</f>
        <v>8996.130000000001</v>
      </c>
      <c r="G189" s="117">
        <f>G190</f>
        <v>4318.8</v>
      </c>
      <c r="H189" s="120"/>
      <c r="I189" s="108">
        <f t="shared" ref="I189:J190" si="74">I190</f>
        <v>3061.01</v>
      </c>
      <c r="J189" s="108">
        <f t="shared" si="74"/>
        <v>3468.9900000000002</v>
      </c>
      <c r="K189" s="129"/>
    </row>
    <row r="190" spans="1:14" ht="38.25" hidden="1" customHeight="1">
      <c r="A190" s="28" t="s">
        <v>256</v>
      </c>
      <c r="B190" s="15" t="s">
        <v>258</v>
      </c>
      <c r="C190" s="7"/>
      <c r="D190" s="17">
        <f>D195+D202</f>
        <v>159436.01</v>
      </c>
      <c r="E190" s="13">
        <f t="shared" ref="E190:E253" si="75">F190-D190</f>
        <v>-150439.88</v>
      </c>
      <c r="F190" s="17">
        <f>F191+F198+F202</f>
        <v>8996.130000000001</v>
      </c>
      <c r="G190" s="117">
        <f>G191</f>
        <v>4318.8</v>
      </c>
      <c r="H190" s="120"/>
      <c r="I190" s="108">
        <f t="shared" si="74"/>
        <v>3061.01</v>
      </c>
      <c r="J190" s="108">
        <f t="shared" si="74"/>
        <v>3468.9900000000002</v>
      </c>
      <c r="K190" s="129"/>
    </row>
    <row r="191" spans="1:14" ht="31.5" hidden="1" customHeight="1">
      <c r="A191" s="28" t="s">
        <v>256</v>
      </c>
      <c r="B191" s="15" t="s">
        <v>258</v>
      </c>
      <c r="C191" s="15"/>
      <c r="D191" s="17"/>
      <c r="E191" s="13">
        <f t="shared" si="75"/>
        <v>0</v>
      </c>
      <c r="F191" s="17">
        <f>F192</f>
        <v>0</v>
      </c>
      <c r="G191" s="117">
        <f>4275.6+43.2</f>
        <v>4318.8</v>
      </c>
      <c r="H191" s="140"/>
      <c r="I191" s="128">
        <f>3030.4+30.61</f>
        <v>3061.01</v>
      </c>
      <c r="J191" s="128">
        <f>3434.3+34.69</f>
        <v>3468.9900000000002</v>
      </c>
      <c r="K191" s="129" t="s">
        <v>524</v>
      </c>
      <c r="L191" s="1">
        <f>2323.2/99</f>
        <v>23.466666666666665</v>
      </c>
      <c r="M191" s="1">
        <f>3030.4/99</f>
        <v>30.610101010101012</v>
      </c>
      <c r="N191" s="1">
        <f>3434.3/99</f>
        <v>34.689898989898992</v>
      </c>
    </row>
    <row r="192" spans="1:14" ht="30.75" hidden="1" customHeight="1">
      <c r="A192" s="28" t="s">
        <v>256</v>
      </c>
      <c r="B192" s="15" t="s">
        <v>258</v>
      </c>
      <c r="C192" s="15"/>
      <c r="D192" s="17"/>
      <c r="E192" s="13">
        <f t="shared" si="75"/>
        <v>0</v>
      </c>
      <c r="F192" s="17">
        <f>F193</f>
        <v>0</v>
      </c>
      <c r="G192" s="117">
        <f t="shared" ref="G192:G194" si="76">G193</f>
        <v>0</v>
      </c>
      <c r="H192" s="120"/>
      <c r="I192" s="108">
        <f t="shared" ref="I192:J194" si="77">I193</f>
        <v>0</v>
      </c>
      <c r="J192" s="108">
        <f t="shared" si="77"/>
        <v>0</v>
      </c>
      <c r="K192" s="129"/>
    </row>
    <row r="193" spans="1:20" ht="25.5" hidden="1" customHeight="1">
      <c r="A193" s="28" t="s">
        <v>256</v>
      </c>
      <c r="B193" s="15" t="s">
        <v>258</v>
      </c>
      <c r="C193" s="7"/>
      <c r="D193" s="17">
        <f>D194</f>
        <v>159436.01</v>
      </c>
      <c r="E193" s="13">
        <f t="shared" si="75"/>
        <v>-159436.01</v>
      </c>
      <c r="F193" s="17">
        <v>0</v>
      </c>
      <c r="G193" s="117">
        <f t="shared" si="76"/>
        <v>0</v>
      </c>
      <c r="H193" s="120"/>
      <c r="I193" s="108">
        <f t="shared" si="77"/>
        <v>0</v>
      </c>
      <c r="J193" s="108">
        <f t="shared" si="77"/>
        <v>0</v>
      </c>
      <c r="K193" s="129"/>
    </row>
    <row r="194" spans="1:20" ht="25.5" hidden="1" customHeight="1">
      <c r="A194" s="28" t="s">
        <v>256</v>
      </c>
      <c r="B194" s="15" t="s">
        <v>258</v>
      </c>
      <c r="C194" s="15"/>
      <c r="D194" s="17">
        <f>D195</f>
        <v>159436.01</v>
      </c>
      <c r="E194" s="13">
        <f t="shared" si="75"/>
        <v>-159436.01</v>
      </c>
      <c r="F194" s="17">
        <v>0</v>
      </c>
      <c r="G194" s="117">
        <f t="shared" si="76"/>
        <v>0</v>
      </c>
      <c r="H194" s="120"/>
      <c r="I194" s="108">
        <f t="shared" si="77"/>
        <v>0</v>
      </c>
      <c r="J194" s="108">
        <f t="shared" si="77"/>
        <v>0</v>
      </c>
      <c r="K194" s="129"/>
    </row>
    <row r="195" spans="1:20" ht="33" customHeight="1">
      <c r="A195" s="28" t="s">
        <v>48</v>
      </c>
      <c r="B195" s="15" t="s">
        <v>49</v>
      </c>
      <c r="C195" s="15"/>
      <c r="D195" s="17">
        <f>D196+D217+D222+D225</f>
        <v>159436.01</v>
      </c>
      <c r="E195" s="13">
        <f t="shared" si="75"/>
        <v>29098.489999999991</v>
      </c>
      <c r="F195" s="17">
        <f>F196+F214+F217+F222+F225</f>
        <v>188534.5</v>
      </c>
      <c r="G195" s="117">
        <f>G196+G197</f>
        <v>0</v>
      </c>
      <c r="H195" s="120"/>
      <c r="I195" s="108">
        <f t="shared" ref="I195:J195" si="78">I196+I197</f>
        <v>0</v>
      </c>
      <c r="J195" s="108">
        <f t="shared" si="78"/>
        <v>0</v>
      </c>
      <c r="K195" s="129"/>
    </row>
    <row r="196" spans="1:20" ht="30.75" customHeight="1">
      <c r="A196" s="28" t="s">
        <v>50</v>
      </c>
      <c r="B196" s="15" t="s">
        <v>51</v>
      </c>
      <c r="C196" s="15"/>
      <c r="D196" s="17">
        <f>D205+D208+D212</f>
        <v>40680.199999999997</v>
      </c>
      <c r="E196" s="13">
        <f t="shared" si="75"/>
        <v>8503.0400000000081</v>
      </c>
      <c r="F196" s="17">
        <f>F197+F203</f>
        <v>49183.240000000005</v>
      </c>
      <c r="G196" s="117"/>
      <c r="H196" s="120"/>
      <c r="I196" s="128"/>
      <c r="J196" s="128"/>
      <c r="K196" s="129" t="s">
        <v>524</v>
      </c>
      <c r="L196" s="1">
        <f>79742.3/99</f>
        <v>805.47777777777776</v>
      </c>
    </row>
    <row r="197" spans="1:20" ht="32.25" customHeight="1">
      <c r="A197" s="28" t="s">
        <v>542</v>
      </c>
      <c r="B197" s="15" t="s">
        <v>492</v>
      </c>
      <c r="C197" s="15"/>
      <c r="D197" s="17"/>
      <c r="E197" s="13">
        <f t="shared" si="75"/>
        <v>25859.670000000006</v>
      </c>
      <c r="F197" s="17">
        <f>SUM(F198:F202)</f>
        <v>25859.670000000006</v>
      </c>
      <c r="G197" s="117"/>
      <c r="H197" s="120"/>
      <c r="I197" s="128"/>
      <c r="J197" s="128"/>
      <c r="K197" s="129" t="s">
        <v>524</v>
      </c>
    </row>
    <row r="198" spans="1:20" s="47" customFormat="1" ht="15" customHeight="1">
      <c r="A198" s="28" t="s">
        <v>10</v>
      </c>
      <c r="B198" s="15" t="s">
        <v>492</v>
      </c>
      <c r="C198" s="7" t="s">
        <v>11</v>
      </c>
      <c r="D198" s="17"/>
      <c r="E198" s="13">
        <f t="shared" si="75"/>
        <v>8493.7800000000007</v>
      </c>
      <c r="F198" s="17">
        <f>15993.12-7499.34</f>
        <v>8493.7800000000007</v>
      </c>
      <c r="G198" s="118">
        <f>G201</f>
        <v>40552.11</v>
      </c>
      <c r="H198" s="121"/>
      <c r="I198" s="113">
        <f t="shared" ref="I198:J200" si="79">I199</f>
        <v>44972.299999999996</v>
      </c>
      <c r="J198" s="113">
        <f t="shared" si="79"/>
        <v>44972.299999999996</v>
      </c>
      <c r="K198" s="129"/>
      <c r="P198" s="155">
        <f>F204+F206+F224</f>
        <v>23531.57</v>
      </c>
      <c r="S198" s="155">
        <f t="shared" ref="S198:T198" si="80">I204+I206+I224</f>
        <v>44972.299999999996</v>
      </c>
      <c r="T198" s="155">
        <f t="shared" si="80"/>
        <v>44972.299999999996</v>
      </c>
    </row>
    <row r="199" spans="1:20" ht="25.5" customHeight="1">
      <c r="A199" s="32" t="s">
        <v>15</v>
      </c>
      <c r="B199" s="15" t="s">
        <v>492</v>
      </c>
      <c r="C199" s="7" t="s">
        <v>16</v>
      </c>
      <c r="D199" s="17"/>
      <c r="E199" s="13">
        <f t="shared" si="75"/>
        <v>154.34</v>
      </c>
      <c r="F199" s="17">
        <v>154.34</v>
      </c>
      <c r="G199" s="117">
        <f>G200</f>
        <v>40552.11</v>
      </c>
      <c r="H199" s="120"/>
      <c r="I199" s="108">
        <f t="shared" si="79"/>
        <v>44972.299999999996</v>
      </c>
      <c r="J199" s="108">
        <f t="shared" si="79"/>
        <v>44972.299999999996</v>
      </c>
      <c r="K199" s="129"/>
    </row>
    <row r="200" spans="1:20" ht="45.75" customHeight="1">
      <c r="A200" s="28" t="s">
        <v>12</v>
      </c>
      <c r="B200" s="15" t="s">
        <v>492</v>
      </c>
      <c r="C200" s="7" t="s">
        <v>13</v>
      </c>
      <c r="D200" s="17"/>
      <c r="E200" s="13">
        <f t="shared" si="75"/>
        <v>2565.12</v>
      </c>
      <c r="F200" s="17">
        <f>4829.92-2264.8</f>
        <v>2565.12</v>
      </c>
      <c r="G200" s="117">
        <f>G201</f>
        <v>40552.11</v>
      </c>
      <c r="H200" s="120"/>
      <c r="I200" s="108">
        <f t="shared" si="79"/>
        <v>44972.299999999996</v>
      </c>
      <c r="J200" s="108">
        <f t="shared" si="79"/>
        <v>44972.299999999996</v>
      </c>
      <c r="K200" s="129"/>
    </row>
    <row r="201" spans="1:20" ht="25.5" customHeight="1">
      <c r="A201" s="28" t="s">
        <v>19</v>
      </c>
      <c r="B201" s="15" t="s">
        <v>492</v>
      </c>
      <c r="C201" s="7" t="s">
        <v>20</v>
      </c>
      <c r="D201" s="17"/>
      <c r="E201" s="13">
        <f t="shared" si="75"/>
        <v>14144.080000000004</v>
      </c>
      <c r="F201" s="17">
        <f>71382.16-20823.04-502.35-23323.57-154.34-12434.78</f>
        <v>14144.080000000004</v>
      </c>
      <c r="G201" s="117">
        <f>G207+G214+G221</f>
        <v>40552.11</v>
      </c>
      <c r="H201" s="120"/>
      <c r="I201" s="108">
        <f t="shared" ref="I201:J201" si="81">I202+I221</f>
        <v>44972.299999999996</v>
      </c>
      <c r="J201" s="108">
        <f t="shared" si="81"/>
        <v>44972.299999999996</v>
      </c>
      <c r="K201" s="129"/>
    </row>
    <row r="202" spans="1:20" ht="25.5" customHeight="1">
      <c r="A202" s="28" t="s">
        <v>30</v>
      </c>
      <c r="B202" s="15" t="s">
        <v>492</v>
      </c>
      <c r="C202" s="7" t="s">
        <v>31</v>
      </c>
      <c r="D202" s="17"/>
      <c r="E202" s="13">
        <f t="shared" si="75"/>
        <v>502.35</v>
      </c>
      <c r="F202" s="17">
        <v>502.35</v>
      </c>
      <c r="G202" s="117"/>
      <c r="H202" s="120"/>
      <c r="I202" s="108">
        <f t="shared" ref="I202:J202" si="82">I203+I205</f>
        <v>44938.7</v>
      </c>
      <c r="J202" s="108">
        <f t="shared" si="82"/>
        <v>44938.7</v>
      </c>
      <c r="K202" s="129"/>
    </row>
    <row r="203" spans="1:20" ht="43.5" customHeight="1">
      <c r="A203" s="28" t="s">
        <v>266</v>
      </c>
      <c r="B203" s="15" t="s">
        <v>633</v>
      </c>
      <c r="C203" s="7"/>
      <c r="D203" s="17"/>
      <c r="E203" s="13">
        <f t="shared" si="75"/>
        <v>23323.57</v>
      </c>
      <c r="F203" s="17">
        <f>F204</f>
        <v>23323.57</v>
      </c>
      <c r="G203" s="117"/>
      <c r="H203" s="120"/>
      <c r="I203" s="108">
        <f t="shared" ref="I203:J203" si="83">I204</f>
        <v>17244.75</v>
      </c>
      <c r="J203" s="108">
        <f t="shared" si="83"/>
        <v>17244.75</v>
      </c>
      <c r="K203" s="129"/>
    </row>
    <row r="204" spans="1:20" ht="29.25" customHeight="1">
      <c r="A204" s="28" t="s">
        <v>19</v>
      </c>
      <c r="B204" s="15" t="s">
        <v>633</v>
      </c>
      <c r="C204" s="7" t="s">
        <v>20</v>
      </c>
      <c r="D204" s="17"/>
      <c r="E204" s="13">
        <f t="shared" si="75"/>
        <v>23323.57</v>
      </c>
      <c r="F204" s="17">
        <v>23323.57</v>
      </c>
      <c r="G204" s="117"/>
      <c r="H204" s="120"/>
      <c r="I204" s="107">
        <v>17244.75</v>
      </c>
      <c r="J204" s="107">
        <v>17244.75</v>
      </c>
      <c r="K204" s="129"/>
    </row>
    <row r="205" spans="1:20" ht="25.5" customHeight="1">
      <c r="A205" s="28" t="s">
        <v>52</v>
      </c>
      <c r="B205" s="15" t="s">
        <v>53</v>
      </c>
      <c r="C205" s="15"/>
      <c r="D205" s="17">
        <f>SUM(D206:D207)</f>
        <v>8383.6</v>
      </c>
      <c r="E205" s="13">
        <f t="shared" si="75"/>
        <v>-8383.6</v>
      </c>
      <c r="F205" s="17">
        <v>0</v>
      </c>
      <c r="G205" s="17"/>
      <c r="H205" s="131"/>
      <c r="I205" s="108">
        <f t="shared" ref="I205:J205" si="84">I206</f>
        <v>27693.95</v>
      </c>
      <c r="J205" s="108">
        <f t="shared" si="84"/>
        <v>27693.95</v>
      </c>
      <c r="K205" s="129"/>
    </row>
    <row r="206" spans="1:20" ht="21.75" customHeight="1">
      <c r="A206" s="28" t="s">
        <v>10</v>
      </c>
      <c r="B206" s="15" t="s">
        <v>53</v>
      </c>
      <c r="C206" s="15" t="s">
        <v>11</v>
      </c>
      <c r="D206" s="17">
        <f>15051.2-8433</f>
        <v>6618.2000000000007</v>
      </c>
      <c r="E206" s="13">
        <f t="shared" si="75"/>
        <v>-6618.2000000000007</v>
      </c>
      <c r="F206" s="17">
        <v>0</v>
      </c>
      <c r="G206" s="117"/>
      <c r="H206" s="120"/>
      <c r="I206" s="107">
        <f t="shared" ref="I206:J206" si="85">27568.95+65+60</f>
        <v>27693.95</v>
      </c>
      <c r="J206" s="107">
        <f t="shared" si="85"/>
        <v>27693.95</v>
      </c>
      <c r="K206" s="129"/>
    </row>
    <row r="207" spans="1:20" ht="41.25" customHeight="1">
      <c r="A207" s="28" t="s">
        <v>12</v>
      </c>
      <c r="B207" s="15" t="s">
        <v>53</v>
      </c>
      <c r="C207" s="15" t="s">
        <v>13</v>
      </c>
      <c r="D207" s="17">
        <f>4312.2-2546.8</f>
        <v>1765.3999999999996</v>
      </c>
      <c r="E207" s="13">
        <f t="shared" si="75"/>
        <v>-1765.3999999999996</v>
      </c>
      <c r="F207" s="17">
        <v>0</v>
      </c>
      <c r="G207" s="115">
        <f>G209+G212</f>
        <v>16065.599999999999</v>
      </c>
      <c r="H207" s="144"/>
      <c r="I207" s="145"/>
      <c r="J207" s="145"/>
      <c r="K207" s="129"/>
    </row>
    <row r="208" spans="1:20" ht="34.5" customHeight="1">
      <c r="A208" s="28" t="s">
        <v>54</v>
      </c>
      <c r="B208" s="15" t="s">
        <v>55</v>
      </c>
      <c r="C208" s="15"/>
      <c r="D208" s="17">
        <f>SUBTOTAL(9,D209:D211)</f>
        <v>6748.199999999998</v>
      </c>
      <c r="E208" s="13">
        <f t="shared" si="75"/>
        <v>-6748.199999999998</v>
      </c>
      <c r="F208" s="17">
        <v>0</v>
      </c>
      <c r="G208" s="115"/>
      <c r="H208" s="144"/>
      <c r="I208" s="114"/>
      <c r="J208" s="114"/>
      <c r="K208" s="129"/>
    </row>
    <row r="209" spans="1:11" ht="25.5" customHeight="1">
      <c r="A209" s="32" t="s">
        <v>15</v>
      </c>
      <c r="B209" s="15" t="s">
        <v>55</v>
      </c>
      <c r="C209" s="15" t="s">
        <v>16</v>
      </c>
      <c r="D209" s="17"/>
      <c r="E209" s="13">
        <f t="shared" si="75"/>
        <v>0</v>
      </c>
      <c r="F209" s="17">
        <v>0</v>
      </c>
      <c r="G209" s="115">
        <f>SUBTOTAL(9,G210:G211)</f>
        <v>0</v>
      </c>
      <c r="H209" s="120"/>
      <c r="I209" s="124"/>
      <c r="J209" s="124"/>
      <c r="K209" s="129"/>
    </row>
    <row r="210" spans="1:11" ht="15.75" customHeight="1">
      <c r="A210" s="28" t="s">
        <v>19</v>
      </c>
      <c r="B210" s="15" t="s">
        <v>55</v>
      </c>
      <c r="C210" s="15" t="s">
        <v>20</v>
      </c>
      <c r="D210" s="17">
        <f>43.7+4182.4+367.6+39460.1+162+661.8-13267.3-25548.4</f>
        <v>6061.8999999999978</v>
      </c>
      <c r="E210" s="13">
        <f t="shared" si="75"/>
        <v>-6061.8999999999978</v>
      </c>
      <c r="F210" s="17">
        <v>0</v>
      </c>
      <c r="G210" s="115"/>
      <c r="H210" s="120"/>
      <c r="I210" s="124"/>
      <c r="J210" s="124"/>
      <c r="K210" s="129"/>
    </row>
    <row r="211" spans="1:11" ht="36" customHeight="1">
      <c r="A211" s="28" t="s">
        <v>30</v>
      </c>
      <c r="B211" s="15" t="s">
        <v>55</v>
      </c>
      <c r="C211" s="15" t="s">
        <v>31</v>
      </c>
      <c r="D211" s="17">
        <v>686.3</v>
      </c>
      <c r="E211" s="13">
        <f t="shared" si="75"/>
        <v>-686.3</v>
      </c>
      <c r="F211" s="17">
        <v>0</v>
      </c>
      <c r="G211" s="115"/>
      <c r="H211" s="120"/>
      <c r="I211" s="124"/>
      <c r="J211" s="124"/>
      <c r="K211" s="129"/>
    </row>
    <row r="212" spans="1:11" ht="38.25" customHeight="1">
      <c r="A212" s="28" t="s">
        <v>266</v>
      </c>
      <c r="B212" s="15" t="s">
        <v>267</v>
      </c>
      <c r="C212" s="15"/>
      <c r="D212" s="68">
        <f>D213</f>
        <v>25548.400000000001</v>
      </c>
      <c r="E212" s="13">
        <f t="shared" si="75"/>
        <v>-25548.400000000001</v>
      </c>
      <c r="F212" s="17">
        <v>0</v>
      </c>
      <c r="G212" s="115">
        <f>SUM(G213:G213)</f>
        <v>16065.599999999999</v>
      </c>
      <c r="H212" s="120"/>
      <c r="I212" s="124"/>
      <c r="J212" s="124"/>
      <c r="K212" s="129"/>
    </row>
    <row r="213" spans="1:11" ht="35.25" customHeight="1">
      <c r="A213" s="28" t="s">
        <v>19</v>
      </c>
      <c r="B213" s="15" t="s">
        <v>267</v>
      </c>
      <c r="C213" s="15" t="s">
        <v>20</v>
      </c>
      <c r="D213" s="17">
        <v>25548.400000000001</v>
      </c>
      <c r="E213" s="13">
        <f t="shared" si="75"/>
        <v>-25548.400000000001</v>
      </c>
      <c r="F213" s="17">
        <v>0</v>
      </c>
      <c r="G213" s="115">
        <f>12792.4+72+51.88+1093.57+88.54+1905.3+61.91</f>
        <v>16065.599999999999</v>
      </c>
      <c r="H213" s="120"/>
      <c r="I213" s="124"/>
      <c r="J213" s="124"/>
      <c r="K213" s="129"/>
    </row>
    <row r="214" spans="1:11" ht="25.5" customHeight="1">
      <c r="A214" s="28" t="s">
        <v>576</v>
      </c>
      <c r="B214" s="15" t="s">
        <v>574</v>
      </c>
      <c r="C214" s="15"/>
      <c r="D214" s="17"/>
      <c r="E214" s="13">
        <f t="shared" si="75"/>
        <v>12434.78</v>
      </c>
      <c r="F214" s="17">
        <f>F215</f>
        <v>12434.78</v>
      </c>
      <c r="G214" s="115">
        <f>G216+G219</f>
        <v>24167.510000000002</v>
      </c>
      <c r="H214" s="144"/>
      <c r="I214" s="145"/>
      <c r="J214" s="145"/>
      <c r="K214" s="129"/>
    </row>
    <row r="215" spans="1:11" ht="36" customHeight="1">
      <c r="A215" s="28" t="s">
        <v>495</v>
      </c>
      <c r="B215" s="15" t="s">
        <v>575</v>
      </c>
      <c r="C215" s="15"/>
      <c r="D215" s="17"/>
      <c r="E215" s="13">
        <f t="shared" si="75"/>
        <v>12434.78</v>
      </c>
      <c r="F215" s="17">
        <f>F216</f>
        <v>12434.78</v>
      </c>
      <c r="G215" s="115"/>
      <c r="H215" s="144"/>
      <c r="I215" s="114"/>
      <c r="J215" s="114"/>
      <c r="K215" s="129"/>
    </row>
    <row r="216" spans="1:11" ht="25.5" customHeight="1">
      <c r="A216" s="28" t="s">
        <v>19</v>
      </c>
      <c r="B216" s="15" t="s">
        <v>575</v>
      </c>
      <c r="C216" s="15" t="s">
        <v>20</v>
      </c>
      <c r="D216" s="17"/>
      <c r="E216" s="13">
        <f t="shared" si="75"/>
        <v>12434.78</v>
      </c>
      <c r="F216" s="17">
        <v>12434.78</v>
      </c>
      <c r="G216" s="115">
        <f>SUBTOTAL(9,G217:G218)</f>
        <v>0</v>
      </c>
      <c r="H216" s="120"/>
      <c r="I216" s="124"/>
      <c r="J216" s="124"/>
      <c r="K216" s="129"/>
    </row>
    <row r="217" spans="1:11" ht="16.5" customHeight="1">
      <c r="A217" s="28" t="s">
        <v>56</v>
      </c>
      <c r="B217" s="15" t="s">
        <v>57</v>
      </c>
      <c r="C217" s="15"/>
      <c r="D217" s="17">
        <f>SUM(D218:D221)</f>
        <v>91953.609999999986</v>
      </c>
      <c r="E217" s="13">
        <f t="shared" si="75"/>
        <v>7964.4700000000157</v>
      </c>
      <c r="F217" s="17">
        <f>SUM(F218:F221)</f>
        <v>99918.080000000002</v>
      </c>
      <c r="G217" s="115"/>
      <c r="H217" s="120"/>
      <c r="I217" s="124"/>
      <c r="J217" s="124"/>
      <c r="K217" s="129"/>
    </row>
    <row r="218" spans="1:11" ht="18.75" customHeight="1">
      <c r="A218" s="28" t="s">
        <v>10</v>
      </c>
      <c r="B218" s="15" t="s">
        <v>57</v>
      </c>
      <c r="C218" s="15" t="s">
        <v>11</v>
      </c>
      <c r="D218" s="17">
        <v>70161.84</v>
      </c>
      <c r="E218" s="13">
        <f t="shared" si="75"/>
        <v>5129.4499999999971</v>
      </c>
      <c r="F218" s="17">
        <v>75291.289999999994</v>
      </c>
      <c r="G218" s="115"/>
      <c r="H218" s="120"/>
      <c r="I218" s="124"/>
      <c r="J218" s="124"/>
      <c r="K218" s="129"/>
    </row>
    <row r="219" spans="1:11" ht="30.75" customHeight="1">
      <c r="A219" s="32" t="s">
        <v>15</v>
      </c>
      <c r="B219" s="15" t="s">
        <v>57</v>
      </c>
      <c r="C219" s="15" t="s">
        <v>16</v>
      </c>
      <c r="D219" s="17">
        <v>56</v>
      </c>
      <c r="E219" s="13">
        <f t="shared" si="75"/>
        <v>125.25</v>
      </c>
      <c r="F219" s="17">
        <v>181.25</v>
      </c>
      <c r="G219" s="115">
        <f>G220</f>
        <v>24167.510000000002</v>
      </c>
      <c r="H219" s="120"/>
      <c r="I219" s="124"/>
      <c r="J219" s="124"/>
      <c r="K219" s="129"/>
    </row>
    <row r="220" spans="1:11" ht="45.75" customHeight="1">
      <c r="A220" s="28" t="s">
        <v>12</v>
      </c>
      <c r="B220" s="15" t="s">
        <v>57</v>
      </c>
      <c r="C220" s="15" t="s">
        <v>13</v>
      </c>
      <c r="D220" s="17">
        <v>21188.87</v>
      </c>
      <c r="E220" s="13">
        <f t="shared" si="75"/>
        <v>1549.1000000000022</v>
      </c>
      <c r="F220" s="17">
        <v>22737.97</v>
      </c>
      <c r="G220" s="115">
        <f>18172.2+139.36+57.76+625.6+135.2+4675.2+47.81+314.38</f>
        <v>24167.510000000002</v>
      </c>
      <c r="H220" s="120"/>
      <c r="I220" s="124"/>
      <c r="J220" s="124"/>
      <c r="K220" s="129"/>
    </row>
    <row r="221" spans="1:11" ht="32.25" customHeight="1">
      <c r="A221" s="28" t="s">
        <v>19</v>
      </c>
      <c r="B221" s="15" t="s">
        <v>57</v>
      </c>
      <c r="C221" s="15" t="s">
        <v>20</v>
      </c>
      <c r="D221" s="17">
        <v>546.9</v>
      </c>
      <c r="E221" s="13">
        <f t="shared" si="75"/>
        <v>1160.67</v>
      </c>
      <c r="F221" s="17">
        <v>1707.57</v>
      </c>
      <c r="G221" s="117">
        <f>G222+G223+G224</f>
        <v>319</v>
      </c>
      <c r="H221" s="120"/>
      <c r="I221" s="108">
        <f t="shared" ref="I221:J221" si="86">I224</f>
        <v>33.6</v>
      </c>
      <c r="J221" s="108">
        <f t="shared" si="86"/>
        <v>33.6</v>
      </c>
      <c r="K221" s="129"/>
    </row>
    <row r="222" spans="1:11" ht="16.5" customHeight="1">
      <c r="A222" s="28" t="s">
        <v>59</v>
      </c>
      <c r="B222" s="15" t="s">
        <v>60</v>
      </c>
      <c r="C222" s="15"/>
      <c r="D222" s="17">
        <f>D223</f>
        <v>26610.2</v>
      </c>
      <c r="E222" s="13">
        <f t="shared" si="75"/>
        <v>228.20000000000073</v>
      </c>
      <c r="F222" s="17">
        <f>F223</f>
        <v>26838.400000000001</v>
      </c>
      <c r="G222" s="115"/>
      <c r="H222" s="120"/>
      <c r="I222" s="124"/>
      <c r="J222" s="124"/>
      <c r="K222" s="129"/>
    </row>
    <row r="223" spans="1:11" ht="28.5" customHeight="1">
      <c r="A223" s="28" t="s">
        <v>409</v>
      </c>
      <c r="B223" s="15" t="s">
        <v>60</v>
      </c>
      <c r="C223" s="4" t="s">
        <v>408</v>
      </c>
      <c r="D223" s="17">
        <v>26610.2</v>
      </c>
      <c r="E223" s="13">
        <f t="shared" si="75"/>
        <v>228.20000000000073</v>
      </c>
      <c r="F223" s="17">
        <v>26838.400000000001</v>
      </c>
      <c r="G223" s="115"/>
      <c r="H223" s="120"/>
      <c r="I223" s="124"/>
      <c r="J223" s="124"/>
      <c r="K223" s="129"/>
    </row>
    <row r="224" spans="1:11" ht="39" customHeight="1">
      <c r="A224" s="28" t="s">
        <v>23</v>
      </c>
      <c r="B224" s="15" t="s">
        <v>58</v>
      </c>
      <c r="C224" s="15"/>
      <c r="D224" s="17">
        <f>D225+D226</f>
        <v>250</v>
      </c>
      <c r="E224" s="13">
        <f t="shared" si="75"/>
        <v>-42</v>
      </c>
      <c r="F224" s="17">
        <f>SUM(F225:F226)</f>
        <v>208</v>
      </c>
      <c r="G224" s="117">
        <v>319</v>
      </c>
      <c r="H224" s="120"/>
      <c r="I224" s="107">
        <f t="shared" ref="I224:J224" si="87">26+7.6</f>
        <v>33.6</v>
      </c>
      <c r="J224" s="107">
        <f t="shared" si="87"/>
        <v>33.6</v>
      </c>
      <c r="K224" s="149" t="s">
        <v>524</v>
      </c>
    </row>
    <row r="225" spans="1:20" s="47" customFormat="1" ht="15" customHeight="1">
      <c r="A225" s="28" t="s">
        <v>10</v>
      </c>
      <c r="B225" s="15" t="s">
        <v>58</v>
      </c>
      <c r="C225" s="15" t="s">
        <v>11</v>
      </c>
      <c r="D225" s="17">
        <v>192</v>
      </c>
      <c r="E225" s="13">
        <f t="shared" si="75"/>
        <v>-32</v>
      </c>
      <c r="F225" s="17">
        <v>160</v>
      </c>
      <c r="G225" s="118">
        <f>G232+G235+G239</f>
        <v>3819.1</v>
      </c>
      <c r="H225" s="121"/>
      <c r="I225" s="113">
        <f t="shared" ref="I225:J226" si="88">I226</f>
        <v>2069.1999999999998</v>
      </c>
      <c r="J225" s="113">
        <f t="shared" si="88"/>
        <v>2357</v>
      </c>
      <c r="K225" s="129"/>
      <c r="P225" s="155">
        <f>F231+F236+F237+F242+F244</f>
        <v>54000.05</v>
      </c>
      <c r="S225" s="155">
        <f t="shared" ref="S225:T225" si="89">I231+I236+I237+I242+I244</f>
        <v>2069.1999999999998</v>
      </c>
      <c r="T225" s="155">
        <f t="shared" si="89"/>
        <v>2357</v>
      </c>
    </row>
    <row r="226" spans="1:20" ht="25.5" customHeight="1">
      <c r="A226" s="28" t="s">
        <v>25</v>
      </c>
      <c r="B226" s="15" t="s">
        <v>58</v>
      </c>
      <c r="C226" s="15" t="s">
        <v>13</v>
      </c>
      <c r="D226" s="17">
        <v>58</v>
      </c>
      <c r="E226" s="13">
        <f t="shared" si="75"/>
        <v>-10</v>
      </c>
      <c r="F226" s="17">
        <v>48</v>
      </c>
      <c r="G226" s="117">
        <f>G227</f>
        <v>1749.9</v>
      </c>
      <c r="H226" s="120"/>
      <c r="I226" s="108">
        <f t="shared" si="88"/>
        <v>2069.1999999999998</v>
      </c>
      <c r="J226" s="108">
        <f t="shared" si="88"/>
        <v>2357</v>
      </c>
      <c r="K226" s="129"/>
    </row>
    <row r="227" spans="1:20" ht="25.5" customHeight="1">
      <c r="A227" s="28" t="s">
        <v>67</v>
      </c>
      <c r="B227" s="15" t="s">
        <v>68</v>
      </c>
      <c r="C227" s="15"/>
      <c r="D227" s="17">
        <f>D228+D259+D264</f>
        <v>413156.28</v>
      </c>
      <c r="E227" s="13">
        <f t="shared" si="75"/>
        <v>82978.839999999967</v>
      </c>
      <c r="F227" s="17">
        <f>F228+F255+F259+F264+F267</f>
        <v>496135.12</v>
      </c>
      <c r="G227" s="117">
        <f>G232+G239</f>
        <v>1749.9</v>
      </c>
      <c r="H227" s="120"/>
      <c r="I227" s="108">
        <f t="shared" ref="I227:J227" si="90">I228+I235+I239</f>
        <v>2069.1999999999998</v>
      </c>
      <c r="J227" s="108">
        <f t="shared" si="90"/>
        <v>2357</v>
      </c>
      <c r="K227" s="129"/>
    </row>
    <row r="228" spans="1:20" ht="25.5" customHeight="1">
      <c r="A228" s="28" t="s">
        <v>69</v>
      </c>
      <c r="B228" s="15" t="s">
        <v>70</v>
      </c>
      <c r="C228" s="15"/>
      <c r="D228" s="17">
        <f>D241+D244+D253+D251</f>
        <v>65485.14</v>
      </c>
      <c r="E228" s="13">
        <f t="shared" si="75"/>
        <v>78147.719999999987</v>
      </c>
      <c r="F228" s="17">
        <f>F229+F237+F239</f>
        <v>143632.85999999999</v>
      </c>
      <c r="G228" s="117"/>
      <c r="H228" s="120"/>
      <c r="I228" s="108">
        <f t="shared" ref="I228:J230" si="91">I229</f>
        <v>0</v>
      </c>
      <c r="J228" s="108">
        <f t="shared" si="91"/>
        <v>0</v>
      </c>
      <c r="K228" s="129"/>
    </row>
    <row r="229" spans="1:20" ht="25.5" customHeight="1">
      <c r="A229" s="161" t="s">
        <v>544</v>
      </c>
      <c r="B229" s="15" t="s">
        <v>543</v>
      </c>
      <c r="C229" s="15"/>
      <c r="D229" s="17"/>
      <c r="E229" s="13">
        <f t="shared" si="75"/>
        <v>68881.699999999968</v>
      </c>
      <c r="F229" s="17">
        <f>SUM(F230:F236)</f>
        <v>68881.699999999968</v>
      </c>
      <c r="G229" s="117"/>
      <c r="H229" s="120"/>
      <c r="I229" s="108">
        <f t="shared" si="91"/>
        <v>0</v>
      </c>
      <c r="J229" s="108">
        <f t="shared" si="91"/>
        <v>0</v>
      </c>
      <c r="K229" s="129"/>
    </row>
    <row r="230" spans="1:20" ht="30" customHeight="1">
      <c r="A230" s="161" t="s">
        <v>489</v>
      </c>
      <c r="B230" s="15" t="s">
        <v>543</v>
      </c>
      <c r="C230" s="15" t="s">
        <v>11</v>
      </c>
      <c r="D230" s="17"/>
      <c r="E230" s="13">
        <f t="shared" si="75"/>
        <v>29961.839999999997</v>
      </c>
      <c r="F230" s="17">
        <f>56416.81-26454.97</f>
        <v>29961.839999999997</v>
      </c>
      <c r="G230" s="117"/>
      <c r="H230" s="120"/>
      <c r="I230" s="108">
        <f t="shared" si="91"/>
        <v>0</v>
      </c>
      <c r="J230" s="108">
        <f t="shared" si="91"/>
        <v>0</v>
      </c>
      <c r="K230" s="129"/>
    </row>
    <row r="231" spans="1:20" ht="25.5" customHeight="1">
      <c r="A231" s="32" t="s">
        <v>15</v>
      </c>
      <c r="B231" s="15" t="s">
        <v>543</v>
      </c>
      <c r="C231" s="15" t="s">
        <v>16</v>
      </c>
      <c r="D231" s="17"/>
      <c r="E231" s="13">
        <f t="shared" si="75"/>
        <v>490</v>
      </c>
      <c r="F231" s="17">
        <v>490</v>
      </c>
      <c r="G231" s="117"/>
      <c r="H231" s="120"/>
      <c r="I231" s="128"/>
      <c r="J231" s="128"/>
      <c r="K231" s="129"/>
    </row>
    <row r="232" spans="1:20" ht="25.5" customHeight="1">
      <c r="A232" s="28" t="s">
        <v>12</v>
      </c>
      <c r="B232" s="15" t="s">
        <v>543</v>
      </c>
      <c r="C232" s="15" t="s">
        <v>13</v>
      </c>
      <c r="D232" s="17"/>
      <c r="E232" s="13">
        <f t="shared" si="75"/>
        <v>9048.4800000000014</v>
      </c>
      <c r="F232" s="17">
        <f>17037.88-7989.4</f>
        <v>9048.4800000000014</v>
      </c>
      <c r="G232" s="115">
        <f>G234</f>
        <v>1649.9</v>
      </c>
      <c r="H232" s="120"/>
      <c r="I232" s="124"/>
      <c r="J232" s="124"/>
      <c r="K232" s="129"/>
    </row>
    <row r="233" spans="1:20" ht="25.5" customHeight="1">
      <c r="A233" s="28" t="s">
        <v>19</v>
      </c>
      <c r="B233" s="15" t="s">
        <v>543</v>
      </c>
      <c r="C233" s="15" t="s">
        <v>20</v>
      </c>
      <c r="D233" s="17"/>
      <c r="E233" s="13">
        <f t="shared" si="75"/>
        <v>19723.01999999996</v>
      </c>
      <c r="F233" s="17">
        <f>188111.08-29961.84-490-9048.48-9603.04-55.32-53510.05-21241.11-35249.87-8756.55-471.8</f>
        <v>19723.01999999996</v>
      </c>
      <c r="G233" s="115">
        <f>G234</f>
        <v>1649.9</v>
      </c>
      <c r="H233" s="120"/>
      <c r="I233" s="124"/>
      <c r="J233" s="124"/>
      <c r="K233" s="129"/>
    </row>
    <row r="234" spans="1:20" ht="25.5" customHeight="1">
      <c r="A234" s="28" t="s">
        <v>30</v>
      </c>
      <c r="B234" s="15" t="s">
        <v>543</v>
      </c>
      <c r="C234" s="15" t="s">
        <v>31</v>
      </c>
      <c r="D234" s="17"/>
      <c r="E234" s="13">
        <f t="shared" si="75"/>
        <v>9603.0400000000009</v>
      </c>
      <c r="F234" s="17">
        <f>9658.36-55.32</f>
        <v>9603.0400000000009</v>
      </c>
      <c r="G234" s="115">
        <v>1649.9</v>
      </c>
      <c r="H234" s="120"/>
      <c r="I234" s="124"/>
      <c r="J234" s="124"/>
      <c r="K234" s="129"/>
    </row>
    <row r="235" spans="1:20" ht="21" customHeight="1">
      <c r="A235" s="28" t="s">
        <v>32</v>
      </c>
      <c r="B235" s="15" t="s">
        <v>543</v>
      </c>
      <c r="C235" s="15" t="s">
        <v>33</v>
      </c>
      <c r="D235" s="17"/>
      <c r="E235" s="13">
        <f t="shared" si="75"/>
        <v>55.32</v>
      </c>
      <c r="F235" s="17">
        <v>55.32</v>
      </c>
      <c r="G235" s="17">
        <f>G237+G238</f>
        <v>2069.1999999999998</v>
      </c>
      <c r="H235" s="120"/>
      <c r="I235" s="108">
        <f t="shared" ref="I235:J235" si="92">I236+I237</f>
        <v>2069.1999999999998</v>
      </c>
      <c r="J235" s="108">
        <f t="shared" si="92"/>
        <v>2069.1999999999998</v>
      </c>
      <c r="K235" s="129"/>
    </row>
    <row r="236" spans="1:20" ht="19.5" customHeight="1">
      <c r="A236" s="28" t="s">
        <v>21</v>
      </c>
      <c r="B236" s="15" t="s">
        <v>543</v>
      </c>
      <c r="C236" s="15" t="s">
        <v>22</v>
      </c>
      <c r="D236" s="17"/>
      <c r="E236" s="13">
        <f t="shared" si="75"/>
        <v>0</v>
      </c>
      <c r="F236" s="17">
        <v>0</v>
      </c>
      <c r="G236" s="17"/>
      <c r="H236" s="120"/>
      <c r="I236" s="107">
        <v>1655.01</v>
      </c>
      <c r="J236" s="107">
        <v>1655.01</v>
      </c>
      <c r="K236" s="129" t="s">
        <v>523</v>
      </c>
    </row>
    <row r="237" spans="1:20" ht="29.25" customHeight="1">
      <c r="A237" s="14" t="s">
        <v>268</v>
      </c>
      <c r="B237" s="15" t="s">
        <v>577</v>
      </c>
      <c r="C237" s="7"/>
      <c r="D237" s="17"/>
      <c r="E237" s="13">
        <f t="shared" si="75"/>
        <v>53510.05</v>
      </c>
      <c r="F237" s="17">
        <f>SUM(F238)</f>
        <v>53510.05</v>
      </c>
      <c r="G237" s="117">
        <f>540+39.5</f>
        <v>579.5</v>
      </c>
      <c r="H237" s="120"/>
      <c r="I237" s="107">
        <f t="shared" ref="I237:J237" si="93">414.19</f>
        <v>414.19</v>
      </c>
      <c r="J237" s="107">
        <f t="shared" si="93"/>
        <v>414.19</v>
      </c>
      <c r="K237" s="129" t="s">
        <v>523</v>
      </c>
    </row>
    <row r="238" spans="1:20" ht="25.5" customHeight="1">
      <c r="A238" s="28" t="s">
        <v>19</v>
      </c>
      <c r="B238" s="15" t="s">
        <v>577</v>
      </c>
      <c r="C238" s="15" t="s">
        <v>20</v>
      </c>
      <c r="D238" s="17"/>
      <c r="E238" s="13">
        <f t="shared" si="75"/>
        <v>53510.05</v>
      </c>
      <c r="F238" s="17">
        <f>49941.8+3568.25</f>
        <v>53510.05</v>
      </c>
      <c r="G238" s="115">
        <v>1489.7</v>
      </c>
      <c r="H238" s="120"/>
      <c r="I238" s="124"/>
      <c r="J238" s="124"/>
      <c r="K238" s="129"/>
    </row>
    <row r="239" spans="1:20" ht="15" customHeight="1">
      <c r="A239" s="28" t="s">
        <v>307</v>
      </c>
      <c r="B239" s="15" t="s">
        <v>578</v>
      </c>
      <c r="C239" s="7"/>
      <c r="D239" s="17"/>
      <c r="E239" s="13">
        <f t="shared" si="75"/>
        <v>21241.11</v>
      </c>
      <c r="F239" s="17">
        <f>F240</f>
        <v>21241.11</v>
      </c>
      <c r="G239" s="17">
        <f>G245</f>
        <v>100</v>
      </c>
      <c r="H239" s="120"/>
      <c r="I239" s="108">
        <f t="shared" ref="I239:J239" si="94">I240</f>
        <v>0</v>
      </c>
      <c r="J239" s="108">
        <f t="shared" si="94"/>
        <v>287.8</v>
      </c>
      <c r="K239" s="129"/>
    </row>
    <row r="240" spans="1:20" ht="15" customHeight="1">
      <c r="A240" s="28" t="s">
        <v>19</v>
      </c>
      <c r="B240" s="15" t="s">
        <v>578</v>
      </c>
      <c r="C240" s="15" t="s">
        <v>20</v>
      </c>
      <c r="D240" s="17"/>
      <c r="E240" s="13">
        <f t="shared" si="75"/>
        <v>21241.11</v>
      </c>
      <c r="F240" s="17">
        <v>21241.11</v>
      </c>
      <c r="G240" s="17"/>
      <c r="H240" s="120"/>
      <c r="I240" s="108">
        <f t="shared" ref="I240:J240" si="95">I241+I243</f>
        <v>0</v>
      </c>
      <c r="J240" s="108">
        <f t="shared" si="95"/>
        <v>287.8</v>
      </c>
      <c r="K240" s="129"/>
    </row>
    <row r="241" spans="1:20" ht="15" customHeight="1">
      <c r="A241" s="28" t="s">
        <v>71</v>
      </c>
      <c r="B241" s="15" t="s">
        <v>72</v>
      </c>
      <c r="C241" s="15"/>
      <c r="D241" s="17">
        <f>SUBTOTAL(9,D242:D243)</f>
        <v>11281.47</v>
      </c>
      <c r="E241" s="13">
        <f t="shared" si="75"/>
        <v>-11281.47</v>
      </c>
      <c r="F241" s="17">
        <v>0</v>
      </c>
      <c r="G241" s="17"/>
      <c r="H241" s="120"/>
      <c r="I241" s="108">
        <f t="shared" ref="I241:J241" si="96">I242</f>
        <v>0</v>
      </c>
      <c r="J241" s="108">
        <f t="shared" si="96"/>
        <v>187.8</v>
      </c>
      <c r="K241" s="129"/>
    </row>
    <row r="242" spans="1:20" ht="28.5" customHeight="1">
      <c r="A242" s="28" t="s">
        <v>10</v>
      </c>
      <c r="B242" s="15" t="s">
        <v>72</v>
      </c>
      <c r="C242" s="15" t="s">
        <v>11</v>
      </c>
      <c r="D242" s="17">
        <f>54130.71-45258</f>
        <v>8872.7099999999991</v>
      </c>
      <c r="E242" s="13">
        <f t="shared" si="75"/>
        <v>-8872.7099999999991</v>
      </c>
      <c r="F242" s="17">
        <v>0</v>
      </c>
      <c r="G242" s="17"/>
      <c r="H242" s="120"/>
      <c r="I242" s="107"/>
      <c r="J242" s="107">
        <v>187.8</v>
      </c>
      <c r="K242" s="129"/>
    </row>
    <row r="243" spans="1:20" ht="26.25" customHeight="1">
      <c r="A243" s="28" t="s">
        <v>12</v>
      </c>
      <c r="B243" s="15" t="s">
        <v>72</v>
      </c>
      <c r="C243" s="15" t="s">
        <v>13</v>
      </c>
      <c r="D243" s="17">
        <f>16084.76-13676</f>
        <v>2408.7600000000002</v>
      </c>
      <c r="E243" s="13">
        <f t="shared" si="75"/>
        <v>-2408.7600000000002</v>
      </c>
      <c r="F243" s="17">
        <v>0</v>
      </c>
      <c r="G243" s="17"/>
      <c r="H243" s="120"/>
      <c r="I243" s="108">
        <f t="shared" ref="I243:J243" si="97">I244</f>
        <v>0</v>
      </c>
      <c r="J243" s="108">
        <f t="shared" si="97"/>
        <v>100</v>
      </c>
      <c r="K243" s="129"/>
    </row>
    <row r="244" spans="1:20" ht="19.5" customHeight="1">
      <c r="A244" s="28" t="s">
        <v>271</v>
      </c>
      <c r="B244" s="15" t="s">
        <v>73</v>
      </c>
      <c r="C244" s="15"/>
      <c r="D244" s="17">
        <f>SUM(D245:D250)</f>
        <v>31981.870000000003</v>
      </c>
      <c r="E244" s="13">
        <f t="shared" si="75"/>
        <v>-31981.870000000003</v>
      </c>
      <c r="F244" s="17">
        <v>0</v>
      </c>
      <c r="G244" s="17"/>
      <c r="H244" s="120"/>
      <c r="I244" s="107"/>
      <c r="J244" s="107">
        <v>100</v>
      </c>
      <c r="K244" s="129"/>
    </row>
    <row r="245" spans="1:20" ht="25.5" customHeight="1">
      <c r="A245" s="32" t="s">
        <v>15</v>
      </c>
      <c r="B245" s="15" t="s">
        <v>73</v>
      </c>
      <c r="C245" s="15" t="s">
        <v>16</v>
      </c>
      <c r="D245" s="17"/>
      <c r="E245" s="13">
        <f t="shared" si="75"/>
        <v>0</v>
      </c>
      <c r="F245" s="17">
        <v>0</v>
      </c>
      <c r="G245" s="115">
        <f>G246</f>
        <v>100</v>
      </c>
      <c r="H245" s="120"/>
      <c r="I245" s="124"/>
      <c r="J245" s="124"/>
      <c r="K245" s="129"/>
    </row>
    <row r="246" spans="1:20" ht="17.25" customHeight="1">
      <c r="A246" s="33" t="s">
        <v>17</v>
      </c>
      <c r="B246" s="15" t="s">
        <v>73</v>
      </c>
      <c r="C246" s="15" t="s">
        <v>18</v>
      </c>
      <c r="D246" s="17"/>
      <c r="E246" s="13">
        <f t="shared" si="75"/>
        <v>0</v>
      </c>
      <c r="F246" s="17">
        <v>0</v>
      </c>
      <c r="G246" s="115">
        <v>100</v>
      </c>
      <c r="H246" s="120"/>
      <c r="I246" s="124"/>
      <c r="J246" s="124"/>
      <c r="K246" s="129"/>
    </row>
    <row r="247" spans="1:20" s="47" customFormat="1" ht="15" customHeight="1">
      <c r="A247" s="28" t="s">
        <v>19</v>
      </c>
      <c r="B247" s="15" t="s">
        <v>73</v>
      </c>
      <c r="C247" s="15" t="s">
        <v>20</v>
      </c>
      <c r="D247" s="17">
        <f>152.4+9627.5+2721.4+3707.9+172+4383.8-5161.42-90.68+2819.27</f>
        <v>18332.169999999998</v>
      </c>
      <c r="E247" s="13">
        <f t="shared" si="75"/>
        <v>-18332.169999999998</v>
      </c>
      <c r="F247" s="17">
        <v>0</v>
      </c>
      <c r="G247" s="21">
        <f>G248+G302</f>
        <v>28115.43</v>
      </c>
      <c r="H247" s="121"/>
      <c r="I247" s="113">
        <f t="shared" ref="I247:J247" si="98">I248+I302</f>
        <v>22224.28</v>
      </c>
      <c r="J247" s="113">
        <f t="shared" si="98"/>
        <v>24628.39</v>
      </c>
      <c r="K247" s="129"/>
      <c r="P247" s="155">
        <f>F253+F254+F255+F256+F257+F258+F259+F280+F281+F282+F283+F284+F286+F288+F289+F306+F307+F311+F312</f>
        <v>364847.63</v>
      </c>
      <c r="S247" s="155">
        <f t="shared" ref="S247:T247" si="99">I253+I254+I255+I256+I257+I258+I259+I280+I281+I282+I283+I284+I286+I288+I289+I306+I307+I311+I312</f>
        <v>22224.280000000002</v>
      </c>
      <c r="T247" s="155">
        <f t="shared" si="99"/>
        <v>24628.39</v>
      </c>
    </row>
    <row r="248" spans="1:20" ht="25.5" customHeight="1">
      <c r="A248" s="28" t="s">
        <v>30</v>
      </c>
      <c r="B248" s="15" t="s">
        <v>73</v>
      </c>
      <c r="C248" s="15" t="s">
        <v>31</v>
      </c>
      <c r="D248" s="17">
        <f>13576.12</f>
        <v>13576.12</v>
      </c>
      <c r="E248" s="13">
        <f t="shared" si="75"/>
        <v>-13576.12</v>
      </c>
      <c r="F248" s="17">
        <v>0</v>
      </c>
      <c r="G248" s="17">
        <f>G260+G267+G277</f>
        <v>28115.43</v>
      </c>
      <c r="H248" s="120"/>
      <c r="I248" s="108">
        <f t="shared" ref="I248:J248" si="100">I250+I277</f>
        <v>22224.28</v>
      </c>
      <c r="J248" s="108">
        <f t="shared" si="100"/>
        <v>24628.39</v>
      </c>
      <c r="K248" s="129"/>
    </row>
    <row r="249" spans="1:20" ht="22.5" customHeight="1">
      <c r="A249" s="28" t="s">
        <v>32</v>
      </c>
      <c r="B249" s="15" t="s">
        <v>73</v>
      </c>
      <c r="C249" s="15" t="s">
        <v>33</v>
      </c>
      <c r="D249" s="17">
        <v>73.58</v>
      </c>
      <c r="E249" s="13">
        <f t="shared" si="75"/>
        <v>-73.58</v>
      </c>
      <c r="F249" s="17">
        <v>0</v>
      </c>
      <c r="G249" s="115">
        <f t="shared" ref="G249:G260" si="101">G250</f>
        <v>3511.6</v>
      </c>
      <c r="H249" s="120"/>
      <c r="I249" s="124"/>
      <c r="J249" s="124"/>
      <c r="K249" s="129"/>
    </row>
    <row r="250" spans="1:20" ht="21" customHeight="1">
      <c r="A250" s="28" t="s">
        <v>21</v>
      </c>
      <c r="B250" s="15" t="s">
        <v>73</v>
      </c>
      <c r="C250" s="15" t="s">
        <v>22</v>
      </c>
      <c r="D250" s="17"/>
      <c r="E250" s="13">
        <f t="shared" si="75"/>
        <v>0</v>
      </c>
      <c r="F250" s="17">
        <v>0</v>
      </c>
      <c r="G250" s="17">
        <f>G260</f>
        <v>3511.6</v>
      </c>
      <c r="H250" s="120"/>
      <c r="I250" s="108">
        <f t="shared" ref="I250:J251" si="102">I251</f>
        <v>6889.1200000000008</v>
      </c>
      <c r="J250" s="108">
        <f t="shared" si="102"/>
        <v>7285.0999999999995</v>
      </c>
      <c r="K250" s="129"/>
    </row>
    <row r="251" spans="1:20" ht="33" customHeight="1">
      <c r="A251" s="28" t="s">
        <v>307</v>
      </c>
      <c r="B251" s="15" t="s">
        <v>270</v>
      </c>
      <c r="C251" s="15"/>
      <c r="D251" s="17">
        <f>D252</f>
        <v>22221.8</v>
      </c>
      <c r="E251" s="13">
        <f t="shared" si="75"/>
        <v>-22221.8</v>
      </c>
      <c r="F251" s="17">
        <v>0</v>
      </c>
      <c r="G251" s="17"/>
      <c r="H251" s="120"/>
      <c r="I251" s="108">
        <f t="shared" si="102"/>
        <v>6889.1200000000008</v>
      </c>
      <c r="J251" s="108">
        <f t="shared" si="102"/>
        <v>7285.0999999999995</v>
      </c>
      <c r="K251" s="129"/>
    </row>
    <row r="252" spans="1:20" ht="36" customHeight="1">
      <c r="A252" s="28" t="s">
        <v>19</v>
      </c>
      <c r="B252" s="15" t="s">
        <v>270</v>
      </c>
      <c r="C252" s="15" t="s">
        <v>20</v>
      </c>
      <c r="D252" s="17">
        <f>22354.8-148+15</f>
        <v>22221.8</v>
      </c>
      <c r="E252" s="13">
        <f t="shared" si="75"/>
        <v>-22221.8</v>
      </c>
      <c r="F252" s="17">
        <v>0</v>
      </c>
      <c r="G252" s="17"/>
      <c r="H252" s="120"/>
      <c r="I252" s="108">
        <f t="shared" ref="I252:J252" si="103">SUM(I253:I259)</f>
        <v>6889.1200000000008</v>
      </c>
      <c r="J252" s="108">
        <f t="shared" si="103"/>
        <v>7285.0999999999995</v>
      </c>
      <c r="K252" s="129"/>
    </row>
    <row r="253" spans="1:20" ht="39.75" customHeight="1">
      <c r="A253" s="14" t="s">
        <v>268</v>
      </c>
      <c r="B253" s="15" t="s">
        <v>269</v>
      </c>
      <c r="C253" s="15"/>
      <c r="D253" s="17">
        <f>D254</f>
        <v>0</v>
      </c>
      <c r="E253" s="13">
        <f t="shared" si="75"/>
        <v>0</v>
      </c>
      <c r="F253" s="17">
        <v>0</v>
      </c>
      <c r="G253" s="17"/>
      <c r="H253" s="120"/>
      <c r="I253" s="107">
        <f t="shared" ref="I253:J253" si="104">6701.31-1839.93</f>
        <v>4861.38</v>
      </c>
      <c r="J253" s="107">
        <f t="shared" si="104"/>
        <v>4861.38</v>
      </c>
      <c r="K253" s="129"/>
    </row>
    <row r="254" spans="1:20" ht="39.75" customHeight="1">
      <c r="A254" s="14" t="s">
        <v>19</v>
      </c>
      <c r="B254" s="15" t="s">
        <v>269</v>
      </c>
      <c r="C254" s="15" t="s">
        <v>20</v>
      </c>
      <c r="D254" s="17"/>
      <c r="E254" s="13">
        <f t="shared" ref="E254:E317" si="105">F254-D254</f>
        <v>0</v>
      </c>
      <c r="F254" s="17">
        <v>0</v>
      </c>
      <c r="G254" s="17"/>
      <c r="H254" s="120"/>
      <c r="I254" s="107">
        <v>537.6</v>
      </c>
      <c r="J254" s="107">
        <v>537.6</v>
      </c>
      <c r="K254" s="129"/>
    </row>
    <row r="255" spans="1:20" ht="24" customHeight="1">
      <c r="A255" s="28" t="s">
        <v>576</v>
      </c>
      <c r="B255" s="15" t="s">
        <v>579</v>
      </c>
      <c r="C255" s="15"/>
      <c r="D255" s="17"/>
      <c r="E255" s="13">
        <f t="shared" si="105"/>
        <v>9228.3499999999985</v>
      </c>
      <c r="F255" s="17">
        <f>F256</f>
        <v>9228.3499999999985</v>
      </c>
      <c r="G255" s="17"/>
      <c r="H255" s="120"/>
      <c r="I255" s="107">
        <f t="shared" ref="I255:J255" si="106">2023.8-555.66</f>
        <v>1468.1399999999999</v>
      </c>
      <c r="J255" s="107">
        <f t="shared" si="106"/>
        <v>1468.1399999999999</v>
      </c>
      <c r="K255" s="129"/>
    </row>
    <row r="256" spans="1:20" ht="30" customHeight="1">
      <c r="A256" s="28" t="s">
        <v>495</v>
      </c>
      <c r="B256" s="15" t="s">
        <v>580</v>
      </c>
      <c r="C256" s="15"/>
      <c r="D256" s="17"/>
      <c r="E256" s="13">
        <f t="shared" si="105"/>
        <v>9228.3499999999985</v>
      </c>
      <c r="F256" s="17">
        <f>SUM(F257:F258)</f>
        <v>9228.3499999999985</v>
      </c>
      <c r="G256" s="17"/>
      <c r="H256" s="120"/>
      <c r="I256" s="107"/>
      <c r="J256" s="107">
        <f t="shared" ref="J256" si="107">3822.29+5858.4-6701.31-537.6-2023.8-22</f>
        <v>395.97999999999843</v>
      </c>
      <c r="K256" s="129"/>
    </row>
    <row r="257" spans="1:11" ht="30" customHeight="1">
      <c r="A257" s="28" t="s">
        <v>19</v>
      </c>
      <c r="B257" s="15" t="s">
        <v>580</v>
      </c>
      <c r="C257" s="15" t="s">
        <v>20</v>
      </c>
      <c r="D257" s="17"/>
      <c r="E257" s="13">
        <f t="shared" si="105"/>
        <v>8756.5499999999993</v>
      </c>
      <c r="F257" s="17">
        <v>8756.5499999999993</v>
      </c>
      <c r="G257" s="17"/>
      <c r="H257" s="120"/>
      <c r="I257" s="107">
        <v>22</v>
      </c>
      <c r="J257" s="107">
        <v>22</v>
      </c>
      <c r="K257" s="129"/>
    </row>
    <row r="258" spans="1:11" ht="37.5" customHeight="1">
      <c r="A258" s="28" t="s">
        <v>96</v>
      </c>
      <c r="B258" s="15" t="s">
        <v>580</v>
      </c>
      <c r="C258" s="15" t="s">
        <v>97</v>
      </c>
      <c r="D258" s="17"/>
      <c r="E258" s="13">
        <f t="shared" si="105"/>
        <v>471.8</v>
      </c>
      <c r="F258" s="17">
        <v>471.8</v>
      </c>
      <c r="G258" s="17"/>
      <c r="H258" s="120"/>
      <c r="I258" s="107"/>
      <c r="J258" s="107"/>
      <c r="K258" s="129"/>
    </row>
    <row r="259" spans="1:11" ht="13.5" customHeight="1">
      <c r="A259" s="28" t="s">
        <v>56</v>
      </c>
      <c r="B259" s="15" t="s">
        <v>74</v>
      </c>
      <c r="C259" s="15"/>
      <c r="D259" s="17">
        <f>SUBTOTAL(9,D260:D263)</f>
        <v>345665.39</v>
      </c>
      <c r="E259" s="13">
        <f t="shared" si="105"/>
        <v>-8502.8099999999977</v>
      </c>
      <c r="F259" s="17">
        <f>SUM(F260:F263)</f>
        <v>337162.58</v>
      </c>
      <c r="G259" s="17"/>
      <c r="H259" s="120"/>
      <c r="I259" s="107"/>
      <c r="J259" s="107"/>
      <c r="K259" s="129"/>
    </row>
    <row r="260" spans="1:11" ht="22.5" customHeight="1">
      <c r="A260" s="28" t="s">
        <v>10</v>
      </c>
      <c r="B260" s="15" t="s">
        <v>74</v>
      </c>
      <c r="C260" s="15" t="s">
        <v>11</v>
      </c>
      <c r="D260" s="17">
        <f>256863.52+3392.17+1024.43</f>
        <v>261280.12</v>
      </c>
      <c r="E260" s="13">
        <f t="shared" si="105"/>
        <v>-3608.2600000000093</v>
      </c>
      <c r="F260" s="17">
        <v>257671.86</v>
      </c>
      <c r="G260" s="115">
        <f t="shared" si="101"/>
        <v>3511.6</v>
      </c>
      <c r="H260" s="120"/>
      <c r="I260" s="124"/>
      <c r="J260" s="124"/>
      <c r="K260" s="129"/>
    </row>
    <row r="261" spans="1:11" ht="38.25" customHeight="1">
      <c r="A261" s="32" t="s">
        <v>15</v>
      </c>
      <c r="B261" s="15" t="s">
        <v>74</v>
      </c>
      <c r="C261" s="15" t="s">
        <v>16</v>
      </c>
      <c r="D261" s="17">
        <v>840</v>
      </c>
      <c r="E261" s="13">
        <f t="shared" si="105"/>
        <v>-108.75</v>
      </c>
      <c r="F261" s="17">
        <v>731.25</v>
      </c>
      <c r="G261" s="115">
        <f>G262+G265</f>
        <v>3511.6</v>
      </c>
      <c r="H261" s="120"/>
      <c r="I261" s="124"/>
      <c r="J261" s="124"/>
      <c r="K261" s="129"/>
    </row>
    <row r="262" spans="1:11" ht="25.5" customHeight="1">
      <c r="A262" s="28" t="s">
        <v>12</v>
      </c>
      <c r="B262" s="15" t="s">
        <v>74</v>
      </c>
      <c r="C262" s="15" t="s">
        <v>13</v>
      </c>
      <c r="D262" s="17">
        <v>77572.78</v>
      </c>
      <c r="E262" s="13">
        <f t="shared" si="105"/>
        <v>244.11999999999534</v>
      </c>
      <c r="F262" s="17">
        <v>77816.899999999994</v>
      </c>
      <c r="G262" s="115">
        <f>SUBTOTAL(9,G263:G264)</f>
        <v>3511.6</v>
      </c>
      <c r="H262" s="120"/>
      <c r="I262" s="124"/>
      <c r="J262" s="124"/>
      <c r="K262" s="129"/>
    </row>
    <row r="263" spans="1:11" ht="28.5" customHeight="1">
      <c r="A263" s="28" t="s">
        <v>19</v>
      </c>
      <c r="B263" s="15" t="s">
        <v>74</v>
      </c>
      <c r="C263" s="15" t="s">
        <v>20</v>
      </c>
      <c r="D263" s="17">
        <v>5972.49</v>
      </c>
      <c r="E263" s="13">
        <f t="shared" si="105"/>
        <v>-5029.92</v>
      </c>
      <c r="F263" s="17">
        <v>942.57</v>
      </c>
      <c r="G263" s="115">
        <v>2697.1</v>
      </c>
      <c r="H263" s="120"/>
      <c r="I263" s="124"/>
      <c r="J263" s="124"/>
      <c r="K263" s="129"/>
    </row>
    <row r="264" spans="1:11" ht="42.75" customHeight="1">
      <c r="A264" s="28" t="s">
        <v>23</v>
      </c>
      <c r="B264" s="15" t="s">
        <v>75</v>
      </c>
      <c r="C264" s="15"/>
      <c r="D264" s="17">
        <f>SUBTOTAL(9,D265:D266)</f>
        <v>2005.75</v>
      </c>
      <c r="E264" s="13">
        <f t="shared" si="105"/>
        <v>-206.33999999999992</v>
      </c>
      <c r="F264" s="17">
        <f>F265+F266</f>
        <v>1799.41</v>
      </c>
      <c r="G264" s="115">
        <v>814.5</v>
      </c>
      <c r="H264" s="120"/>
      <c r="I264" s="124"/>
      <c r="J264" s="124"/>
      <c r="K264" s="129"/>
    </row>
    <row r="265" spans="1:11" ht="25.5" customHeight="1">
      <c r="A265" s="28" t="s">
        <v>10</v>
      </c>
      <c r="B265" s="15" t="s">
        <v>75</v>
      </c>
      <c r="C265" s="15" t="s">
        <v>11</v>
      </c>
      <c r="D265" s="17">
        <f>1520.7+19.8</f>
        <v>1540.5</v>
      </c>
      <c r="E265" s="13">
        <f t="shared" si="105"/>
        <v>-157.79999999999995</v>
      </c>
      <c r="F265" s="17">
        <f>1367+15.7</f>
        <v>1382.7</v>
      </c>
      <c r="G265" s="115">
        <f>SUBTOTAL(9,G266:G266)</f>
        <v>0</v>
      </c>
      <c r="H265" s="120"/>
      <c r="I265" s="124"/>
      <c r="J265" s="124"/>
      <c r="K265" s="129"/>
    </row>
    <row r="266" spans="1:11" ht="38.25" customHeight="1">
      <c r="A266" s="28" t="s">
        <v>12</v>
      </c>
      <c r="B266" s="15" t="s">
        <v>75</v>
      </c>
      <c r="C266" s="15" t="s">
        <v>13</v>
      </c>
      <c r="D266" s="17">
        <f>459.3+5.95</f>
        <v>465.25</v>
      </c>
      <c r="E266" s="13">
        <f t="shared" si="105"/>
        <v>-48.54000000000002</v>
      </c>
      <c r="F266" s="17">
        <f>412+4.71</f>
        <v>416.71</v>
      </c>
      <c r="G266" s="115"/>
      <c r="H266" s="120"/>
      <c r="I266" s="124"/>
      <c r="J266" s="124"/>
      <c r="K266" s="129"/>
    </row>
    <row r="267" spans="1:11" ht="25.5" customHeight="1">
      <c r="A267" s="28" t="s">
        <v>518</v>
      </c>
      <c r="B267" s="15" t="s">
        <v>581</v>
      </c>
      <c r="C267" s="15"/>
      <c r="D267" s="17"/>
      <c r="E267" s="13">
        <f t="shared" si="105"/>
        <v>4311.92</v>
      </c>
      <c r="F267" s="17">
        <f>F268</f>
        <v>4311.92</v>
      </c>
      <c r="G267" s="115">
        <f>G268</f>
        <v>5031.3499999999995</v>
      </c>
      <c r="H267" s="120"/>
      <c r="I267" s="124"/>
      <c r="J267" s="124"/>
      <c r="K267" s="129"/>
    </row>
    <row r="268" spans="1:11" ht="15" customHeight="1">
      <c r="A268" s="28" t="s">
        <v>19</v>
      </c>
      <c r="B268" s="15" t="s">
        <v>581</v>
      </c>
      <c r="C268" s="15" t="s">
        <v>20</v>
      </c>
      <c r="D268" s="17"/>
      <c r="E268" s="13">
        <f t="shared" si="105"/>
        <v>4311.92</v>
      </c>
      <c r="F268" s="17">
        <f>4268.8+43.12</f>
        <v>4311.92</v>
      </c>
      <c r="G268" s="115">
        <f>G269+G272</f>
        <v>5031.3499999999995</v>
      </c>
      <c r="H268" s="120"/>
      <c r="I268" s="124"/>
      <c r="J268" s="124"/>
      <c r="K268" s="129"/>
    </row>
    <row r="269" spans="1:11" ht="25.5" customHeight="1">
      <c r="A269" s="28" t="s">
        <v>4</v>
      </c>
      <c r="B269" s="15" t="s">
        <v>5</v>
      </c>
      <c r="C269" s="7"/>
      <c r="D269" s="13">
        <f>D271</f>
        <v>0</v>
      </c>
      <c r="E269" s="13">
        <f t="shared" si="105"/>
        <v>31196.46</v>
      </c>
      <c r="F269" s="13">
        <f>F270</f>
        <v>31196.46</v>
      </c>
      <c r="G269" s="115">
        <f>SUBTOTAL(9,G270:G271)</f>
        <v>4458.3999999999996</v>
      </c>
      <c r="H269" s="120"/>
      <c r="I269" s="124"/>
      <c r="J269" s="124"/>
      <c r="K269" s="129"/>
    </row>
    <row r="270" spans="1:11" ht="29.25" hidden="1" customHeight="1">
      <c r="A270" s="28" t="s">
        <v>4</v>
      </c>
      <c r="B270" s="15" t="s">
        <v>5</v>
      </c>
      <c r="C270" s="16"/>
      <c r="D270" s="17">
        <f>D276+D283+D290</f>
        <v>0</v>
      </c>
      <c r="E270" s="13">
        <f t="shared" si="105"/>
        <v>31196.46</v>
      </c>
      <c r="F270" s="17">
        <f>F271+F290</f>
        <v>31196.46</v>
      </c>
      <c r="G270" s="115">
        <f>3854.4-430</f>
        <v>3424.4</v>
      </c>
      <c r="H270" s="120"/>
      <c r="I270" s="124"/>
      <c r="J270" s="124"/>
      <c r="K270" s="129"/>
    </row>
    <row r="271" spans="1:11" ht="33.75" customHeight="1">
      <c r="A271" s="28" t="s">
        <v>587</v>
      </c>
      <c r="B271" s="15" t="s">
        <v>583</v>
      </c>
      <c r="C271" s="7"/>
      <c r="D271" s="13"/>
      <c r="E271" s="13">
        <f t="shared" si="105"/>
        <v>31196.46</v>
      </c>
      <c r="F271" s="13">
        <f>F272</f>
        <v>31196.46</v>
      </c>
      <c r="G271" s="115">
        <f>1164-130</f>
        <v>1034</v>
      </c>
      <c r="H271" s="120"/>
      <c r="I271" s="124"/>
      <c r="J271" s="124"/>
      <c r="K271" s="129"/>
    </row>
    <row r="272" spans="1:11" ht="25.5" customHeight="1">
      <c r="A272" s="28" t="s">
        <v>587</v>
      </c>
      <c r="B272" s="15" t="s">
        <v>583</v>
      </c>
      <c r="C272" s="16"/>
      <c r="D272" s="17"/>
      <c r="E272" s="13">
        <f t="shared" si="105"/>
        <v>31196.46</v>
      </c>
      <c r="F272" s="17">
        <f>F273+F275</f>
        <v>31196.46</v>
      </c>
      <c r="G272" s="115">
        <f>SUM(G273:G276)</f>
        <v>572.94999999999993</v>
      </c>
      <c r="H272" s="120"/>
      <c r="I272" s="124"/>
      <c r="J272" s="124"/>
      <c r="K272" s="129"/>
    </row>
    <row r="273" spans="1:11" ht="38.25" customHeight="1">
      <c r="A273" s="161" t="s">
        <v>6</v>
      </c>
      <c r="B273" s="15" t="s">
        <v>573</v>
      </c>
      <c r="C273" s="7"/>
      <c r="D273" s="13">
        <f>D275+D278</f>
        <v>0</v>
      </c>
      <c r="E273" s="13">
        <f t="shared" si="105"/>
        <v>13951.71</v>
      </c>
      <c r="F273" s="13">
        <f>F274</f>
        <v>13951.71</v>
      </c>
      <c r="G273" s="115"/>
      <c r="H273" s="120"/>
      <c r="I273" s="124"/>
      <c r="J273" s="124"/>
      <c r="K273" s="129"/>
    </row>
    <row r="274" spans="1:11" ht="25.5" customHeight="1">
      <c r="A274" s="28" t="s">
        <v>253</v>
      </c>
      <c r="B274" s="15" t="s">
        <v>573</v>
      </c>
      <c r="C274" s="7" t="s">
        <v>254</v>
      </c>
      <c r="D274" s="13"/>
      <c r="E274" s="13">
        <f t="shared" si="105"/>
        <v>13951.71</v>
      </c>
      <c r="F274" s="13">
        <v>13951.71</v>
      </c>
      <c r="G274" s="115">
        <f>31.8+20+12.35+100+377+30</f>
        <v>571.15</v>
      </c>
      <c r="H274" s="120"/>
      <c r="I274" s="124"/>
      <c r="J274" s="124"/>
      <c r="K274" s="129"/>
    </row>
    <row r="275" spans="1:11" ht="15" customHeight="1">
      <c r="A275" s="161" t="s">
        <v>80</v>
      </c>
      <c r="B275" s="15" t="s">
        <v>584</v>
      </c>
      <c r="C275" s="16"/>
      <c r="D275" s="17"/>
      <c r="E275" s="13">
        <f t="shared" si="105"/>
        <v>17244.75</v>
      </c>
      <c r="F275" s="17">
        <f>F276</f>
        <v>17244.75</v>
      </c>
      <c r="G275" s="115">
        <v>1.8</v>
      </c>
      <c r="H275" s="120"/>
      <c r="I275" s="124"/>
      <c r="J275" s="124"/>
      <c r="K275" s="129"/>
    </row>
    <row r="276" spans="1:11" ht="15" customHeight="1">
      <c r="A276" s="28" t="s">
        <v>253</v>
      </c>
      <c r="B276" s="15" t="s">
        <v>584</v>
      </c>
      <c r="C276" s="15" t="s">
        <v>254</v>
      </c>
      <c r="D276" s="17"/>
      <c r="E276" s="13">
        <f t="shared" si="105"/>
        <v>17244.75</v>
      </c>
      <c r="F276" s="17">
        <f>17244.75</f>
        <v>17244.75</v>
      </c>
      <c r="G276" s="115"/>
      <c r="H276" s="120"/>
      <c r="I276" s="124"/>
      <c r="J276" s="124"/>
      <c r="K276" s="129"/>
    </row>
    <row r="277" spans="1:11" ht="15" customHeight="1">
      <c r="A277" s="164" t="s">
        <v>85</v>
      </c>
      <c r="B277" s="15" t="s">
        <v>585</v>
      </c>
      <c r="C277" s="16"/>
      <c r="D277" s="17"/>
      <c r="E277" s="13">
        <f t="shared" si="105"/>
        <v>27693.95</v>
      </c>
      <c r="F277" s="17">
        <f>F278</f>
        <v>27693.95</v>
      </c>
      <c r="G277" s="17">
        <f>G287+G290</f>
        <v>19572.48</v>
      </c>
      <c r="H277" s="120"/>
      <c r="I277" s="108">
        <f t="shared" ref="I277:J277" si="108">I278+I287</f>
        <v>15335.16</v>
      </c>
      <c r="J277" s="108">
        <f t="shared" si="108"/>
        <v>17343.29</v>
      </c>
      <c r="K277" s="129"/>
    </row>
    <row r="278" spans="1:11" ht="39" customHeight="1">
      <c r="A278" s="28" t="s">
        <v>253</v>
      </c>
      <c r="B278" s="15" t="s">
        <v>585</v>
      </c>
      <c r="C278" s="15" t="s">
        <v>254</v>
      </c>
      <c r="D278" s="17"/>
      <c r="E278" s="13">
        <f t="shared" si="105"/>
        <v>27693.95</v>
      </c>
      <c r="F278" s="17">
        <f>27568.95+65+60</f>
        <v>27693.95</v>
      </c>
      <c r="G278" s="17"/>
      <c r="H278" s="120"/>
      <c r="I278" s="108">
        <f t="shared" ref="I278:J278" si="109">I279+I285</f>
        <v>6411.82</v>
      </c>
      <c r="J278" s="108">
        <f t="shared" si="109"/>
        <v>8419.9500000000007</v>
      </c>
      <c r="K278" s="129"/>
    </row>
    <row r="279" spans="1:11" ht="39" customHeight="1">
      <c r="A279" s="161" t="s">
        <v>80</v>
      </c>
      <c r="B279" s="15" t="s">
        <v>81</v>
      </c>
      <c r="C279" s="15"/>
      <c r="D279" s="17">
        <f>D281+D284</f>
        <v>16065.599999999999</v>
      </c>
      <c r="E279" s="13">
        <f t="shared" si="105"/>
        <v>-16065.599999999999</v>
      </c>
      <c r="F279" s="17">
        <v>0</v>
      </c>
      <c r="G279" s="17"/>
      <c r="H279" s="120"/>
      <c r="I279" s="108">
        <f t="shared" ref="I279:J279" si="110">SUM(I280:I284)</f>
        <v>3722.05</v>
      </c>
      <c r="J279" s="108">
        <f t="shared" si="110"/>
        <v>5730.18</v>
      </c>
      <c r="K279" s="129"/>
    </row>
    <row r="280" spans="1:11" ht="51.75" customHeight="1">
      <c r="A280" s="28" t="s">
        <v>253</v>
      </c>
      <c r="B280" s="15" t="s">
        <v>81</v>
      </c>
      <c r="C280" s="15" t="s">
        <v>254</v>
      </c>
      <c r="D280" s="17"/>
      <c r="E280" s="13">
        <f t="shared" si="105"/>
        <v>0</v>
      </c>
      <c r="F280" s="17">
        <v>0</v>
      </c>
      <c r="G280" s="17"/>
      <c r="H280" s="120"/>
      <c r="I280" s="107">
        <f t="shared" ref="I280:J280" si="111">3419.04-836.33</f>
        <v>2582.71</v>
      </c>
      <c r="J280" s="107">
        <f t="shared" si="111"/>
        <v>2582.71</v>
      </c>
      <c r="K280" s="129"/>
    </row>
    <row r="281" spans="1:11" ht="27" customHeight="1">
      <c r="A281" s="28" t="s">
        <v>82</v>
      </c>
      <c r="B281" s="15" t="s">
        <v>83</v>
      </c>
      <c r="C281" s="15"/>
      <c r="D281" s="17">
        <f>SUBTOTAL(9,D282:D283)</f>
        <v>0</v>
      </c>
      <c r="E281" s="13">
        <f t="shared" si="105"/>
        <v>0</v>
      </c>
      <c r="F281" s="17">
        <v>0</v>
      </c>
      <c r="G281" s="17"/>
      <c r="H281" s="120"/>
      <c r="I281" s="107">
        <v>90</v>
      </c>
      <c r="J281" s="107">
        <v>90</v>
      </c>
      <c r="K281" s="129"/>
    </row>
    <row r="282" spans="1:11" ht="21.75" customHeight="1">
      <c r="A282" s="28" t="s">
        <v>10</v>
      </c>
      <c r="B282" s="15" t="s">
        <v>83</v>
      </c>
      <c r="C282" s="15" t="s">
        <v>11</v>
      </c>
      <c r="D282" s="17"/>
      <c r="E282" s="13">
        <f t="shared" si="105"/>
        <v>0</v>
      </c>
      <c r="F282" s="17">
        <v>0</v>
      </c>
      <c r="G282" s="17"/>
      <c r="H282" s="120"/>
      <c r="I282" s="107">
        <f t="shared" ref="I282:J282" si="112">1032.55-252.57</f>
        <v>779.98</v>
      </c>
      <c r="J282" s="107">
        <f t="shared" si="112"/>
        <v>779.98</v>
      </c>
      <c r="K282" s="129"/>
    </row>
    <row r="283" spans="1:11" ht="27.75" customHeight="1">
      <c r="A283" s="28" t="s">
        <v>12</v>
      </c>
      <c r="B283" s="15" t="s">
        <v>83</v>
      </c>
      <c r="C283" s="15" t="s">
        <v>13</v>
      </c>
      <c r="D283" s="17"/>
      <c r="E283" s="13">
        <f t="shared" si="105"/>
        <v>0</v>
      </c>
      <c r="F283" s="17">
        <v>0</v>
      </c>
      <c r="G283" s="17"/>
      <c r="H283" s="120"/>
      <c r="I283" s="107"/>
      <c r="J283" s="107">
        <f t="shared" ref="J283" si="113">9508.85-2582.71-90-779.98-269.36-2689.77-836.33-252.57</f>
        <v>2008.1300000000003</v>
      </c>
      <c r="K283" s="129"/>
    </row>
    <row r="284" spans="1:11" ht="38.25" customHeight="1">
      <c r="A284" s="28" t="s">
        <v>272</v>
      </c>
      <c r="B284" s="15" t="s">
        <v>84</v>
      </c>
      <c r="C284" s="16"/>
      <c r="D284" s="17">
        <f>SUM(D285:D285)</f>
        <v>16065.599999999999</v>
      </c>
      <c r="E284" s="13">
        <f t="shared" si="105"/>
        <v>-16065.599999999999</v>
      </c>
      <c r="F284" s="17">
        <v>0</v>
      </c>
      <c r="G284" s="17"/>
      <c r="H284" s="120"/>
      <c r="I284" s="107">
        <v>269.36</v>
      </c>
      <c r="J284" s="107">
        <v>269.36</v>
      </c>
      <c r="K284" s="129"/>
    </row>
    <row r="285" spans="1:11" ht="56.25" customHeight="1">
      <c r="A285" s="28" t="s">
        <v>253</v>
      </c>
      <c r="B285" s="15" t="s">
        <v>84</v>
      </c>
      <c r="C285" s="15" t="s">
        <v>254</v>
      </c>
      <c r="D285" s="17">
        <f>12792.4+72+51.88+1093.57+88.54+1905.3+61.91</f>
        <v>16065.599999999999</v>
      </c>
      <c r="E285" s="13">
        <f t="shared" si="105"/>
        <v>-16065.599999999999</v>
      </c>
      <c r="F285" s="17">
        <v>0</v>
      </c>
      <c r="G285" s="17"/>
      <c r="H285" s="120"/>
      <c r="I285" s="108">
        <f t="shared" ref="I285:J285" si="114">I286</f>
        <v>2689.77</v>
      </c>
      <c r="J285" s="108">
        <f t="shared" si="114"/>
        <v>2689.77</v>
      </c>
      <c r="K285" s="129"/>
    </row>
    <row r="286" spans="1:11" ht="28.5" customHeight="1">
      <c r="A286" s="164" t="s">
        <v>85</v>
      </c>
      <c r="B286" s="15" t="s">
        <v>86</v>
      </c>
      <c r="C286" s="15"/>
      <c r="D286" s="17">
        <f>D288+D291</f>
        <v>24167.510000000002</v>
      </c>
      <c r="E286" s="13">
        <f t="shared" si="105"/>
        <v>-24167.510000000002</v>
      </c>
      <c r="F286" s="17">
        <v>0</v>
      </c>
      <c r="G286" s="17"/>
      <c r="H286" s="120"/>
      <c r="I286" s="107">
        <v>2689.77</v>
      </c>
      <c r="J286" s="107">
        <v>2689.77</v>
      </c>
      <c r="K286" s="129"/>
    </row>
    <row r="287" spans="1:11" ht="60.75" customHeight="1">
      <c r="A287" s="28" t="s">
        <v>253</v>
      </c>
      <c r="B287" s="15" t="s">
        <v>86</v>
      </c>
      <c r="C287" s="15" t="s">
        <v>254</v>
      </c>
      <c r="D287" s="17"/>
      <c r="E287" s="13">
        <f t="shared" si="105"/>
        <v>0</v>
      </c>
      <c r="F287" s="17">
        <v>0</v>
      </c>
      <c r="G287" s="17">
        <f>SUBTOTAL(9,G288:G289)</f>
        <v>8385</v>
      </c>
      <c r="H287" s="120"/>
      <c r="I287" s="108">
        <f t="shared" ref="I287:J287" si="115">I288+I289</f>
        <v>8923.34</v>
      </c>
      <c r="J287" s="108">
        <f t="shared" si="115"/>
        <v>8923.34</v>
      </c>
      <c r="K287" s="129"/>
    </row>
    <row r="288" spans="1:11" ht="12.75" customHeight="1">
      <c r="A288" s="28" t="s">
        <v>87</v>
      </c>
      <c r="B288" s="15" t="s">
        <v>88</v>
      </c>
      <c r="C288" s="15"/>
      <c r="D288" s="17">
        <f>SUBTOTAL(9,D289:D290)</f>
        <v>0</v>
      </c>
      <c r="E288" s="13">
        <f t="shared" si="105"/>
        <v>0</v>
      </c>
      <c r="F288" s="17">
        <v>0</v>
      </c>
      <c r="G288" s="117">
        <v>6440.1</v>
      </c>
      <c r="H288" s="120"/>
      <c r="I288" s="107">
        <v>6853.56</v>
      </c>
      <c r="J288" s="107">
        <v>6853.56</v>
      </c>
      <c r="K288" s="132" t="s">
        <v>523</v>
      </c>
    </row>
    <row r="289" spans="1:11" ht="19.5" customHeight="1">
      <c r="A289" s="28" t="s">
        <v>10</v>
      </c>
      <c r="B289" s="15" t="s">
        <v>88</v>
      </c>
      <c r="C289" s="15" t="s">
        <v>11</v>
      </c>
      <c r="D289" s="17"/>
      <c r="E289" s="13">
        <f t="shared" si="105"/>
        <v>0</v>
      </c>
      <c r="F289" s="17">
        <v>0</v>
      </c>
      <c r="G289" s="117">
        <v>1944.9</v>
      </c>
      <c r="H289" s="120"/>
      <c r="I289" s="107">
        <v>2069.7800000000002</v>
      </c>
      <c r="J289" s="107">
        <v>2069.7800000000002</v>
      </c>
      <c r="K289" s="132" t="s">
        <v>523</v>
      </c>
    </row>
    <row r="290" spans="1:11" ht="38.25" customHeight="1">
      <c r="A290" s="28" t="s">
        <v>12</v>
      </c>
      <c r="B290" s="15" t="s">
        <v>88</v>
      </c>
      <c r="C290" s="15" t="s">
        <v>13</v>
      </c>
      <c r="D290" s="17"/>
      <c r="E290" s="13">
        <f t="shared" si="105"/>
        <v>0</v>
      </c>
      <c r="F290" s="17">
        <v>0</v>
      </c>
      <c r="G290" s="115">
        <f>G291+G294+G300+G298</f>
        <v>11187.48</v>
      </c>
      <c r="H290" s="120"/>
      <c r="I290" s="124"/>
      <c r="J290" s="124"/>
      <c r="K290" s="129"/>
    </row>
    <row r="291" spans="1:11" ht="25.5" customHeight="1">
      <c r="A291" s="28" t="s">
        <v>273</v>
      </c>
      <c r="B291" s="15" t="s">
        <v>89</v>
      </c>
      <c r="C291" s="16"/>
      <c r="D291" s="17">
        <f>D292</f>
        <v>24167.510000000002</v>
      </c>
      <c r="E291" s="13">
        <f t="shared" si="105"/>
        <v>-24167.510000000002</v>
      </c>
      <c r="F291" s="17">
        <v>0</v>
      </c>
      <c r="G291" s="115">
        <f>SUBTOTAL(9,G292:G293)</f>
        <v>5463.2999999999993</v>
      </c>
      <c r="H291" s="120"/>
      <c r="I291" s="124"/>
      <c r="J291" s="124"/>
      <c r="K291" s="129"/>
    </row>
    <row r="292" spans="1:11" ht="17.25" customHeight="1">
      <c r="A292" s="28" t="s">
        <v>253</v>
      </c>
      <c r="B292" s="15" t="s">
        <v>89</v>
      </c>
      <c r="C292" s="15" t="s">
        <v>254</v>
      </c>
      <c r="D292" s="17">
        <f>18172.2+139.36+57.76+625.6+135.2+4675.2+47.81+314.38</f>
        <v>24167.510000000002</v>
      </c>
      <c r="E292" s="13">
        <f t="shared" si="105"/>
        <v>-24167.510000000002</v>
      </c>
      <c r="F292" s="17">
        <v>0</v>
      </c>
      <c r="G292" s="115">
        <f>4561.7-322.6</f>
        <v>4239.0999999999995</v>
      </c>
      <c r="H292" s="120"/>
      <c r="I292" s="124"/>
      <c r="J292" s="124"/>
      <c r="K292" s="129"/>
    </row>
    <row r="293" spans="1:11" ht="39" customHeight="1">
      <c r="A293" s="28" t="s">
        <v>8</v>
      </c>
      <c r="B293" s="15" t="s">
        <v>9</v>
      </c>
      <c r="C293" s="15"/>
      <c r="D293" s="13">
        <f>D294+D295</f>
        <v>0</v>
      </c>
      <c r="E293" s="13">
        <f t="shared" si="105"/>
        <v>0</v>
      </c>
      <c r="F293" s="17">
        <v>0</v>
      </c>
      <c r="G293" s="115">
        <f>1321.6-97.4</f>
        <v>1224.1999999999998</v>
      </c>
      <c r="H293" s="120"/>
      <c r="I293" s="124"/>
      <c r="J293" s="124"/>
      <c r="K293" s="129"/>
    </row>
    <row r="294" spans="1:11" ht="18.75" customHeight="1">
      <c r="A294" s="28" t="s">
        <v>10</v>
      </c>
      <c r="B294" s="15" t="s">
        <v>9</v>
      </c>
      <c r="C294" s="15" t="s">
        <v>11</v>
      </c>
      <c r="D294" s="13"/>
      <c r="E294" s="13">
        <f t="shared" si="105"/>
        <v>0</v>
      </c>
      <c r="F294" s="17">
        <v>0</v>
      </c>
      <c r="G294" s="115">
        <f>SUBTOTAL(9,G295:G297)</f>
        <v>1427.52</v>
      </c>
      <c r="H294" s="120"/>
      <c r="I294" s="124"/>
      <c r="J294" s="124"/>
      <c r="K294" s="129"/>
    </row>
    <row r="295" spans="1:11" ht="25.5" customHeight="1">
      <c r="A295" s="28" t="s">
        <v>12</v>
      </c>
      <c r="B295" s="15" t="s">
        <v>9</v>
      </c>
      <c r="C295" s="15" t="s">
        <v>13</v>
      </c>
      <c r="D295" s="13"/>
      <c r="E295" s="13">
        <f t="shared" si="105"/>
        <v>0</v>
      </c>
      <c r="F295" s="17">
        <v>0</v>
      </c>
      <c r="G295" s="115"/>
      <c r="H295" s="120"/>
      <c r="I295" s="124"/>
      <c r="J295" s="124"/>
      <c r="K295" s="129"/>
    </row>
    <row r="296" spans="1:11" ht="25.5" customHeight="1">
      <c r="A296" s="28" t="s">
        <v>255</v>
      </c>
      <c r="B296" s="15" t="s">
        <v>14</v>
      </c>
      <c r="C296" s="16"/>
      <c r="D296" s="13">
        <f>SUM(D297:D297)</f>
        <v>13207.259999999998</v>
      </c>
      <c r="E296" s="13">
        <f t="shared" si="105"/>
        <v>-13207.259999999998</v>
      </c>
      <c r="F296" s="17">
        <v>0</v>
      </c>
      <c r="G296" s="115">
        <f>75.84+503.38+100.4+227.56+188.04</f>
        <v>1095.22</v>
      </c>
      <c r="H296" s="120"/>
      <c r="I296" s="124"/>
      <c r="J296" s="124"/>
      <c r="K296" s="129"/>
    </row>
    <row r="297" spans="1:11" ht="25.5" customHeight="1">
      <c r="A297" s="28" t="s">
        <v>253</v>
      </c>
      <c r="B297" s="15" t="s">
        <v>14</v>
      </c>
      <c r="C297" s="15" t="s">
        <v>254</v>
      </c>
      <c r="D297" s="13">
        <f>11388.15+33.4+1429.21+332+24.5</f>
        <v>13207.259999999998</v>
      </c>
      <c r="E297" s="13">
        <f t="shared" si="105"/>
        <v>-13207.259999999998</v>
      </c>
      <c r="F297" s="17">
        <v>0</v>
      </c>
      <c r="G297" s="115">
        <v>332.3</v>
      </c>
      <c r="H297" s="120"/>
      <c r="I297" s="124"/>
      <c r="J297" s="124"/>
      <c r="K297" s="129"/>
    </row>
    <row r="298" spans="1:11" ht="25.5" customHeight="1">
      <c r="A298" s="28" t="s">
        <v>23</v>
      </c>
      <c r="B298" s="15" t="s">
        <v>24</v>
      </c>
      <c r="C298" s="15"/>
      <c r="D298" s="17">
        <f>D299+D300+D301</f>
        <v>319</v>
      </c>
      <c r="E298" s="13">
        <f t="shared" si="105"/>
        <v>-285.39999999999998</v>
      </c>
      <c r="F298" s="17">
        <f>F301</f>
        <v>33.6</v>
      </c>
      <c r="G298" s="115">
        <f>G299</f>
        <v>912.44</v>
      </c>
      <c r="H298" s="120"/>
      <c r="I298" s="124"/>
      <c r="J298" s="124"/>
      <c r="K298" s="129"/>
    </row>
    <row r="299" spans="1:11" ht="25.5" customHeight="1">
      <c r="A299" s="28" t="s">
        <v>10</v>
      </c>
      <c r="B299" s="15" t="s">
        <v>24</v>
      </c>
      <c r="C299" s="15" t="s">
        <v>11</v>
      </c>
      <c r="D299" s="17"/>
      <c r="E299" s="13">
        <f t="shared" si="105"/>
        <v>0</v>
      </c>
      <c r="F299" s="17">
        <v>0</v>
      </c>
      <c r="G299" s="115">
        <v>912.44</v>
      </c>
      <c r="H299" s="120"/>
      <c r="I299" s="124"/>
      <c r="J299" s="124"/>
      <c r="K299" s="129"/>
    </row>
    <row r="300" spans="1:11" ht="38.25" customHeight="1">
      <c r="A300" s="28" t="s">
        <v>12</v>
      </c>
      <c r="B300" s="15" t="s">
        <v>24</v>
      </c>
      <c r="C300" s="15" t="s">
        <v>13</v>
      </c>
      <c r="D300" s="17"/>
      <c r="E300" s="13">
        <f t="shared" si="105"/>
        <v>0</v>
      </c>
      <c r="F300" s="17">
        <v>0</v>
      </c>
      <c r="G300" s="115">
        <f>G301</f>
        <v>3384.22</v>
      </c>
      <c r="H300" s="120"/>
      <c r="I300" s="124"/>
      <c r="J300" s="124"/>
      <c r="K300" s="129"/>
    </row>
    <row r="301" spans="1:11" ht="25.5" customHeight="1">
      <c r="A301" s="28" t="s">
        <v>253</v>
      </c>
      <c r="B301" s="15" t="s">
        <v>24</v>
      </c>
      <c r="C301" s="15" t="s">
        <v>254</v>
      </c>
      <c r="D301" s="17">
        <v>319</v>
      </c>
      <c r="E301" s="13">
        <f t="shared" si="105"/>
        <v>-285.39999999999998</v>
      </c>
      <c r="F301" s="17">
        <f>26+7.6</f>
        <v>33.6</v>
      </c>
      <c r="G301" s="115">
        <v>3384.22</v>
      </c>
      <c r="H301" s="120"/>
      <c r="I301" s="124"/>
      <c r="J301" s="124"/>
      <c r="K301" s="129"/>
    </row>
    <row r="302" spans="1:11" ht="28.5" customHeight="1">
      <c r="A302" s="28" t="s">
        <v>90</v>
      </c>
      <c r="B302" s="16" t="s">
        <v>386</v>
      </c>
      <c r="C302" s="7"/>
      <c r="D302" s="17"/>
      <c r="E302" s="13">
        <f t="shared" si="105"/>
        <v>0</v>
      </c>
      <c r="F302" s="17">
        <f>F303</f>
        <v>0</v>
      </c>
      <c r="G302" s="17">
        <f t="shared" ref="G302:G304" si="116">G303</f>
        <v>0</v>
      </c>
      <c r="H302" s="120"/>
      <c r="I302" s="108">
        <f t="shared" ref="I302:J302" si="117">I303+I310</f>
        <v>0</v>
      </c>
      <c r="J302" s="108">
        <f t="shared" si="117"/>
        <v>0</v>
      </c>
      <c r="K302" s="129"/>
    </row>
    <row r="303" spans="1:11" ht="25.5" customHeight="1">
      <c r="A303" s="28" t="s">
        <v>240</v>
      </c>
      <c r="B303" s="15" t="s">
        <v>386</v>
      </c>
      <c r="C303" s="15"/>
      <c r="D303" s="17">
        <f>D304+D310</f>
        <v>1459.6</v>
      </c>
      <c r="E303" s="13">
        <f t="shared" si="105"/>
        <v>-1459.6</v>
      </c>
      <c r="F303" s="17">
        <v>0</v>
      </c>
      <c r="G303" s="17">
        <f t="shared" si="116"/>
        <v>0</v>
      </c>
      <c r="H303" s="120"/>
      <c r="I303" s="108">
        <f t="shared" ref="I303:J304" si="118">I304</f>
        <v>0</v>
      </c>
      <c r="J303" s="108">
        <f t="shared" si="118"/>
        <v>0</v>
      </c>
      <c r="K303" s="129"/>
    </row>
    <row r="304" spans="1:11" ht="25.5" customHeight="1">
      <c r="A304" s="28" t="s">
        <v>241</v>
      </c>
      <c r="B304" s="15" t="s">
        <v>387</v>
      </c>
      <c r="C304" s="15"/>
      <c r="D304" s="17">
        <f>D305+D308</f>
        <v>1459.6</v>
      </c>
      <c r="E304" s="13">
        <f t="shared" si="105"/>
        <v>-1459.6</v>
      </c>
      <c r="F304" s="17">
        <v>0</v>
      </c>
      <c r="G304" s="17">
        <f t="shared" si="116"/>
        <v>0</v>
      </c>
      <c r="H304" s="120"/>
      <c r="I304" s="108">
        <f t="shared" si="118"/>
        <v>0</v>
      </c>
      <c r="J304" s="108">
        <f t="shared" si="118"/>
        <v>0</v>
      </c>
      <c r="K304" s="129"/>
    </row>
    <row r="305" spans="1:14" ht="38.25" customHeight="1">
      <c r="A305" s="28" t="s">
        <v>242</v>
      </c>
      <c r="B305" s="15" t="s">
        <v>388</v>
      </c>
      <c r="C305" s="4"/>
      <c r="D305" s="17">
        <f>SUBTOTAL(9,D306:D307)</f>
        <v>975.6</v>
      </c>
      <c r="E305" s="13">
        <f t="shared" si="105"/>
        <v>-975.6</v>
      </c>
      <c r="F305" s="17">
        <v>0</v>
      </c>
      <c r="G305" s="17">
        <f>SUBTOTAL(9,G306:G309)</f>
        <v>0</v>
      </c>
      <c r="H305" s="120"/>
      <c r="I305" s="108">
        <f t="shared" ref="I305:J305" si="119">I306+I307</f>
        <v>0</v>
      </c>
      <c r="J305" s="108">
        <f t="shared" si="119"/>
        <v>0</v>
      </c>
      <c r="K305" s="129"/>
    </row>
    <row r="306" spans="1:14" ht="14.25" customHeight="1">
      <c r="A306" s="28" t="s">
        <v>10</v>
      </c>
      <c r="B306" s="15" t="s">
        <v>388</v>
      </c>
      <c r="C306" s="15" t="s">
        <v>11</v>
      </c>
      <c r="D306" s="17">
        <v>975.6</v>
      </c>
      <c r="E306" s="13">
        <f t="shared" si="105"/>
        <v>-975.6</v>
      </c>
      <c r="F306" s="17">
        <v>0</v>
      </c>
      <c r="G306" s="117"/>
      <c r="H306" s="120"/>
      <c r="I306" s="128"/>
      <c r="J306" s="128"/>
      <c r="K306" s="129" t="s">
        <v>524</v>
      </c>
    </row>
    <row r="307" spans="1:14" ht="28.5" customHeight="1">
      <c r="A307" s="28" t="s">
        <v>12</v>
      </c>
      <c r="B307" s="15" t="s">
        <v>388</v>
      </c>
      <c r="C307" s="15" t="s">
        <v>13</v>
      </c>
      <c r="D307" s="17"/>
      <c r="E307" s="13">
        <f t="shared" si="105"/>
        <v>0</v>
      </c>
      <c r="F307" s="17">
        <v>0</v>
      </c>
      <c r="G307" s="117"/>
      <c r="H307" s="120"/>
      <c r="I307" s="128"/>
      <c r="J307" s="128"/>
      <c r="K307" s="129" t="s">
        <v>524</v>
      </c>
    </row>
    <row r="308" spans="1:14" ht="35.25" customHeight="1">
      <c r="A308" s="28" t="s">
        <v>243</v>
      </c>
      <c r="B308" s="15" t="s">
        <v>389</v>
      </c>
      <c r="C308" s="4"/>
      <c r="D308" s="17">
        <f>SUBTOTAL(9,D309:D309)</f>
        <v>484</v>
      </c>
      <c r="E308" s="13">
        <f t="shared" si="105"/>
        <v>-484</v>
      </c>
      <c r="F308" s="17">
        <v>0</v>
      </c>
      <c r="G308" s="115"/>
      <c r="H308" s="120"/>
      <c r="I308" s="124"/>
      <c r="J308" s="124"/>
      <c r="K308" s="129"/>
    </row>
    <row r="309" spans="1:14" ht="33" customHeight="1">
      <c r="A309" s="28" t="s">
        <v>30</v>
      </c>
      <c r="B309" s="15" t="s">
        <v>389</v>
      </c>
      <c r="C309" s="4" t="s">
        <v>31</v>
      </c>
      <c r="D309" s="17">
        <v>484</v>
      </c>
      <c r="E309" s="13">
        <f t="shared" si="105"/>
        <v>-484</v>
      </c>
      <c r="F309" s="17">
        <v>0</v>
      </c>
      <c r="G309" s="115"/>
      <c r="H309" s="120"/>
      <c r="I309" s="124"/>
      <c r="J309" s="124"/>
      <c r="K309" s="129"/>
    </row>
    <row r="310" spans="1:14" ht="21.75" customHeight="1">
      <c r="A310" s="164" t="s">
        <v>576</v>
      </c>
      <c r="B310" s="16" t="s">
        <v>390</v>
      </c>
      <c r="C310" s="15"/>
      <c r="D310" s="17"/>
      <c r="E310" s="13">
        <f t="shared" si="105"/>
        <v>0</v>
      </c>
      <c r="F310" s="17">
        <f>F311</f>
        <v>0</v>
      </c>
      <c r="G310" s="17"/>
      <c r="H310" s="120"/>
      <c r="I310" s="108">
        <f t="shared" ref="I310:J310" si="120">I311+I312</f>
        <v>0</v>
      </c>
      <c r="J310" s="108">
        <f t="shared" si="120"/>
        <v>0</v>
      </c>
      <c r="K310" s="129"/>
    </row>
    <row r="311" spans="1:14" ht="15.75" customHeight="1">
      <c r="A311" s="28" t="s">
        <v>244</v>
      </c>
      <c r="B311" s="15" t="s">
        <v>390</v>
      </c>
      <c r="C311" s="15"/>
      <c r="D311" s="17">
        <f>SUM(D312:D313)</f>
        <v>1000</v>
      </c>
      <c r="E311" s="13">
        <f t="shared" si="105"/>
        <v>-1000</v>
      </c>
      <c r="F311" s="17">
        <v>0</v>
      </c>
      <c r="G311" s="17"/>
      <c r="H311" s="120"/>
      <c r="I311" s="107"/>
      <c r="J311" s="107"/>
      <c r="K311" s="129" t="s">
        <v>524</v>
      </c>
    </row>
    <row r="312" spans="1:14" ht="41.25" customHeight="1">
      <c r="A312" s="33" t="s">
        <v>17</v>
      </c>
      <c r="B312" s="15" t="s">
        <v>390</v>
      </c>
      <c r="C312" s="15" t="s">
        <v>18</v>
      </c>
      <c r="D312" s="17">
        <v>200</v>
      </c>
      <c r="E312" s="13">
        <f t="shared" si="105"/>
        <v>-200</v>
      </c>
      <c r="F312" s="17">
        <v>0</v>
      </c>
      <c r="G312" s="17"/>
      <c r="H312" s="120"/>
      <c r="I312" s="107"/>
      <c r="J312" s="107"/>
      <c r="K312" s="129" t="s">
        <v>524</v>
      </c>
    </row>
    <row r="313" spans="1:14" s="47" customFormat="1" ht="15" customHeight="1">
      <c r="A313" s="28" t="s">
        <v>19</v>
      </c>
      <c r="B313" s="15" t="s">
        <v>390</v>
      </c>
      <c r="C313" s="15" t="s">
        <v>20</v>
      </c>
      <c r="D313" s="17">
        <v>800</v>
      </c>
      <c r="E313" s="13">
        <f t="shared" si="105"/>
        <v>-800</v>
      </c>
      <c r="F313" s="17">
        <v>0</v>
      </c>
      <c r="G313" s="21">
        <f>G320+G314</f>
        <v>5820.8</v>
      </c>
      <c r="H313" s="121"/>
      <c r="I313" s="113">
        <f t="shared" ref="I313:J313" si="121">I314+I320</f>
        <v>5741.3</v>
      </c>
      <c r="J313" s="113">
        <f t="shared" si="121"/>
        <v>5739.08</v>
      </c>
      <c r="K313" s="129"/>
    </row>
    <row r="314" spans="1:14" s="47" customFormat="1" ht="15" customHeight="1">
      <c r="A314" s="164" t="s">
        <v>591</v>
      </c>
      <c r="B314" s="16" t="s">
        <v>590</v>
      </c>
      <c r="C314" s="15"/>
      <c r="D314" s="17"/>
      <c r="E314" s="13">
        <f t="shared" si="105"/>
        <v>0</v>
      </c>
      <c r="F314" s="17">
        <v>0</v>
      </c>
      <c r="G314" s="21">
        <f>G318</f>
        <v>521.1</v>
      </c>
      <c r="H314" s="121"/>
      <c r="I314" s="113">
        <f t="shared" ref="I314:J318" si="122">I315</f>
        <v>290.2</v>
      </c>
      <c r="J314" s="113">
        <f t="shared" si="122"/>
        <v>287.98</v>
      </c>
      <c r="K314" s="129"/>
    </row>
    <row r="315" spans="1:14" ht="31.5" customHeight="1">
      <c r="A315" s="28" t="s">
        <v>19</v>
      </c>
      <c r="B315" s="16" t="s">
        <v>590</v>
      </c>
      <c r="C315" s="15" t="s">
        <v>20</v>
      </c>
      <c r="D315" s="17"/>
      <c r="E315" s="13">
        <f t="shared" si="105"/>
        <v>0</v>
      </c>
      <c r="F315" s="17">
        <v>0</v>
      </c>
      <c r="G315" s="17">
        <f>G317</f>
        <v>521.1</v>
      </c>
      <c r="H315" s="120"/>
      <c r="I315" s="108">
        <f t="shared" si="122"/>
        <v>290.2</v>
      </c>
      <c r="J315" s="108">
        <f t="shared" si="122"/>
        <v>287.98</v>
      </c>
      <c r="K315" s="129"/>
    </row>
    <row r="316" spans="1:14" ht="25.5" customHeight="1">
      <c r="A316" s="28" t="s">
        <v>90</v>
      </c>
      <c r="B316" s="15" t="s">
        <v>91</v>
      </c>
      <c r="C316" s="15"/>
      <c r="D316" s="17">
        <f>D318</f>
        <v>1649.9</v>
      </c>
      <c r="E316" s="13">
        <f t="shared" si="105"/>
        <v>-1649.9</v>
      </c>
      <c r="F316" s="17">
        <v>0</v>
      </c>
      <c r="G316" s="17">
        <f t="shared" ref="G316:G317" si="123">G317</f>
        <v>521.1</v>
      </c>
      <c r="H316" s="120"/>
      <c r="I316" s="108">
        <f t="shared" si="122"/>
        <v>290.2</v>
      </c>
      <c r="J316" s="108">
        <f t="shared" si="122"/>
        <v>287.98</v>
      </c>
      <c r="K316" s="129"/>
    </row>
    <row r="317" spans="1:14" ht="25.5" customHeight="1">
      <c r="A317" s="164" t="s">
        <v>92</v>
      </c>
      <c r="B317" s="15" t="s">
        <v>93</v>
      </c>
      <c r="C317" s="15"/>
      <c r="D317" s="17">
        <f>D318</f>
        <v>1649.9</v>
      </c>
      <c r="E317" s="13">
        <f t="shared" si="105"/>
        <v>-1649.9</v>
      </c>
      <c r="F317" s="17">
        <v>0</v>
      </c>
      <c r="G317" s="17">
        <f t="shared" si="123"/>
        <v>521.1</v>
      </c>
      <c r="H317" s="120"/>
      <c r="I317" s="108">
        <f t="shared" si="122"/>
        <v>290.2</v>
      </c>
      <c r="J317" s="108">
        <f t="shared" si="122"/>
        <v>287.98</v>
      </c>
      <c r="K317" s="129"/>
    </row>
    <row r="318" spans="1:14" ht="25.5" customHeight="1">
      <c r="A318" s="28" t="s">
        <v>19</v>
      </c>
      <c r="B318" s="15" t="s">
        <v>93</v>
      </c>
      <c r="C318" s="15" t="s">
        <v>20</v>
      </c>
      <c r="D318" s="17">
        <v>1649.9</v>
      </c>
      <c r="E318" s="13">
        <f t="shared" ref="E318:E381" si="124">F318-D318</f>
        <v>-1649.9</v>
      </c>
      <c r="F318" s="17">
        <v>0</v>
      </c>
      <c r="G318" s="17">
        <f>G319</f>
        <v>521.1</v>
      </c>
      <c r="H318" s="120"/>
      <c r="I318" s="108">
        <f t="shared" si="122"/>
        <v>290.2</v>
      </c>
      <c r="J318" s="108">
        <f t="shared" si="122"/>
        <v>287.98</v>
      </c>
      <c r="K318" s="129"/>
    </row>
    <row r="319" spans="1:14" ht="29.25" customHeight="1">
      <c r="A319" s="28" t="s">
        <v>94</v>
      </c>
      <c r="B319" s="15" t="s">
        <v>95</v>
      </c>
      <c r="C319" s="15"/>
      <c r="D319" s="17">
        <f>D321+D322</f>
        <v>2069.1999999999998</v>
      </c>
      <c r="E319" s="13">
        <f t="shared" si="124"/>
        <v>0</v>
      </c>
      <c r="F319" s="17">
        <f>F320+F321</f>
        <v>2069.1999999999998</v>
      </c>
      <c r="G319" s="117">
        <f>421.1+100</f>
        <v>521.1</v>
      </c>
      <c r="H319" s="120"/>
      <c r="I319" s="107">
        <f>287.3+2.9</f>
        <v>290.2</v>
      </c>
      <c r="J319" s="107">
        <f>285.1+2.88</f>
        <v>287.98</v>
      </c>
      <c r="K319" s="129" t="s">
        <v>524</v>
      </c>
      <c r="L319" s="1">
        <f>288.2/99</f>
        <v>2.911111111111111</v>
      </c>
      <c r="M319" s="1">
        <f>287.3/99</f>
        <v>2.9020202020202022</v>
      </c>
      <c r="N319" s="1">
        <f>285.1/99</f>
        <v>2.87979797979798</v>
      </c>
    </row>
    <row r="320" spans="1:14" s="47" customFormat="1" ht="15" customHeight="1">
      <c r="A320" s="28" t="s">
        <v>19</v>
      </c>
      <c r="B320" s="15" t="s">
        <v>95</v>
      </c>
      <c r="C320" s="15" t="s">
        <v>20</v>
      </c>
      <c r="D320" s="17"/>
      <c r="E320" s="13">
        <f t="shared" si="124"/>
        <v>1655.01</v>
      </c>
      <c r="F320" s="17">
        <v>1655.01</v>
      </c>
      <c r="G320" s="21">
        <f>G323</f>
        <v>5299.7</v>
      </c>
      <c r="H320" s="121"/>
      <c r="I320" s="113">
        <f t="shared" ref="I320:J324" si="125">I321</f>
        <v>5451.1</v>
      </c>
      <c r="J320" s="113">
        <f t="shared" si="125"/>
        <v>5451.1</v>
      </c>
      <c r="K320" s="129"/>
    </row>
    <row r="321" spans="1:20" ht="25.5" customHeight="1">
      <c r="A321" s="28" t="s">
        <v>96</v>
      </c>
      <c r="B321" s="15" t="s">
        <v>95</v>
      </c>
      <c r="C321" s="15" t="s">
        <v>97</v>
      </c>
      <c r="D321" s="17">
        <f>540+39.5</f>
        <v>579.5</v>
      </c>
      <c r="E321" s="13">
        <f t="shared" si="124"/>
        <v>-165.31</v>
      </c>
      <c r="F321" s="17">
        <f>414.19</f>
        <v>414.19</v>
      </c>
      <c r="G321" s="17">
        <f>G322</f>
        <v>5299.7</v>
      </c>
      <c r="H321" s="120"/>
      <c r="I321" s="108">
        <f t="shared" si="125"/>
        <v>5451.1</v>
      </c>
      <c r="J321" s="108">
        <f t="shared" si="125"/>
        <v>5451.1</v>
      </c>
      <c r="K321" s="129"/>
    </row>
    <row r="322" spans="1:20" ht="25.5" customHeight="1">
      <c r="A322" s="28" t="s">
        <v>19</v>
      </c>
      <c r="B322" s="15" t="s">
        <v>95</v>
      </c>
      <c r="C322" s="15" t="s">
        <v>20</v>
      </c>
      <c r="D322" s="17">
        <v>1489.7</v>
      </c>
      <c r="E322" s="13">
        <f t="shared" si="124"/>
        <v>-1489.7</v>
      </c>
      <c r="F322" s="17">
        <v>0</v>
      </c>
      <c r="G322" s="17">
        <f>G323</f>
        <v>5299.7</v>
      </c>
      <c r="H322" s="120"/>
      <c r="I322" s="108">
        <f t="shared" si="125"/>
        <v>5451.1</v>
      </c>
      <c r="J322" s="108">
        <f t="shared" si="125"/>
        <v>5451.1</v>
      </c>
      <c r="K322" s="129"/>
    </row>
    <row r="323" spans="1:20" ht="25.5" customHeight="1">
      <c r="A323" s="28" t="s">
        <v>63</v>
      </c>
      <c r="B323" s="15" t="s">
        <v>64</v>
      </c>
      <c r="C323" s="15"/>
      <c r="D323" s="17">
        <f>D324</f>
        <v>13267.3</v>
      </c>
      <c r="E323" s="13">
        <f t="shared" si="124"/>
        <v>-13267.3</v>
      </c>
      <c r="F323" s="17">
        <v>0</v>
      </c>
      <c r="G323" s="17">
        <f t="shared" ref="G323" si="126">G324</f>
        <v>5299.7</v>
      </c>
      <c r="H323" s="120"/>
      <c r="I323" s="108">
        <f t="shared" si="125"/>
        <v>5451.1</v>
      </c>
      <c r="J323" s="108">
        <f t="shared" si="125"/>
        <v>5451.1</v>
      </c>
      <c r="K323" s="129"/>
    </row>
    <row r="324" spans="1:20" ht="30.75" customHeight="1">
      <c r="A324" s="28" t="s">
        <v>63</v>
      </c>
      <c r="B324" s="15" t="s">
        <v>64</v>
      </c>
      <c r="C324" s="15"/>
      <c r="D324" s="17">
        <f>D325+D327</f>
        <v>13267.3</v>
      </c>
      <c r="E324" s="13">
        <f t="shared" si="124"/>
        <v>-13267.3</v>
      </c>
      <c r="F324" s="17">
        <v>0</v>
      </c>
      <c r="G324" s="17">
        <f>G325</f>
        <v>5299.7</v>
      </c>
      <c r="H324" s="120"/>
      <c r="I324" s="108">
        <f t="shared" si="125"/>
        <v>5451.1</v>
      </c>
      <c r="J324" s="108">
        <f t="shared" si="125"/>
        <v>5451.1</v>
      </c>
      <c r="K324" s="129"/>
    </row>
    <row r="325" spans="1:20" ht="21.75" customHeight="1">
      <c r="A325" s="28" t="s">
        <v>98</v>
      </c>
      <c r="B325" s="15" t="s">
        <v>64</v>
      </c>
      <c r="C325" s="15"/>
      <c r="D325" s="17">
        <f>D331</f>
        <v>0</v>
      </c>
      <c r="E325" s="13">
        <f t="shared" si="124"/>
        <v>0</v>
      </c>
      <c r="F325" s="17">
        <v>0</v>
      </c>
      <c r="G325" s="117">
        <v>5299.7</v>
      </c>
      <c r="H325" s="120"/>
      <c r="I325" s="107">
        <v>5451.1</v>
      </c>
      <c r="J325" s="107">
        <v>5451.1</v>
      </c>
      <c r="K325" s="129" t="s">
        <v>523</v>
      </c>
    </row>
    <row r="326" spans="1:20" ht="18.75" customHeight="1">
      <c r="A326" s="28" t="s">
        <v>65</v>
      </c>
      <c r="B326" s="15" t="s">
        <v>66</v>
      </c>
      <c r="C326" s="15"/>
      <c r="D326" s="17">
        <f>D327</f>
        <v>13267.3</v>
      </c>
      <c r="E326" s="13">
        <f t="shared" si="124"/>
        <v>-13267.3</v>
      </c>
      <c r="F326" s="17">
        <v>0</v>
      </c>
      <c r="G326" s="17"/>
      <c r="H326" s="120"/>
      <c r="I326" s="108">
        <f t="shared" ref="I326:J332" si="127">I327</f>
        <v>0</v>
      </c>
      <c r="J326" s="108">
        <f t="shared" si="127"/>
        <v>1000</v>
      </c>
      <c r="K326" s="129"/>
    </row>
    <row r="327" spans="1:20" ht="17.25" customHeight="1">
      <c r="A327" s="28" t="s">
        <v>19</v>
      </c>
      <c r="B327" s="15" t="s">
        <v>66</v>
      </c>
      <c r="C327" s="15" t="s">
        <v>20</v>
      </c>
      <c r="D327" s="17">
        <v>13267.3</v>
      </c>
      <c r="E327" s="13">
        <f t="shared" si="124"/>
        <v>-13267.3</v>
      </c>
      <c r="F327" s="17">
        <v>0</v>
      </c>
      <c r="G327" s="17"/>
      <c r="H327" s="120"/>
      <c r="I327" s="108">
        <f t="shared" si="127"/>
        <v>0</v>
      </c>
      <c r="J327" s="108">
        <f t="shared" si="127"/>
        <v>1000</v>
      </c>
      <c r="K327" s="129"/>
    </row>
    <row r="328" spans="1:20" ht="45.75" customHeight="1">
      <c r="A328" s="28" t="s">
        <v>76</v>
      </c>
      <c r="B328" s="15" t="s">
        <v>77</v>
      </c>
      <c r="C328" s="15"/>
      <c r="D328" s="17">
        <f>D329</f>
        <v>11723.5</v>
      </c>
      <c r="E328" s="13">
        <f t="shared" si="124"/>
        <v>-11723.5</v>
      </c>
      <c r="F328" s="17">
        <v>0</v>
      </c>
      <c r="G328" s="17"/>
      <c r="H328" s="120"/>
      <c r="I328" s="108">
        <f t="shared" si="127"/>
        <v>0</v>
      </c>
      <c r="J328" s="108">
        <f t="shared" si="127"/>
        <v>1000</v>
      </c>
      <c r="K328" s="129"/>
    </row>
    <row r="329" spans="1:20" ht="27.75" customHeight="1">
      <c r="A329" s="28" t="s">
        <v>19</v>
      </c>
      <c r="B329" s="15" t="s">
        <v>77</v>
      </c>
      <c r="C329" s="15" t="s">
        <v>20</v>
      </c>
      <c r="D329" s="17">
        <f>11755.3-31.8</f>
        <v>11723.5</v>
      </c>
      <c r="E329" s="13">
        <f t="shared" si="124"/>
        <v>-11723.5</v>
      </c>
      <c r="F329" s="17">
        <v>0</v>
      </c>
      <c r="G329" s="17"/>
      <c r="H329" s="120"/>
      <c r="I329" s="108">
        <f t="shared" si="127"/>
        <v>0</v>
      </c>
      <c r="J329" s="108">
        <f t="shared" si="127"/>
        <v>1000</v>
      </c>
      <c r="K329" s="129"/>
    </row>
    <row r="330" spans="1:20" ht="27.75" customHeight="1">
      <c r="A330" s="164" t="s">
        <v>576</v>
      </c>
      <c r="B330" s="16" t="s">
        <v>494</v>
      </c>
      <c r="C330" s="15"/>
      <c r="D330" s="17"/>
      <c r="E330" s="13">
        <f t="shared" si="124"/>
        <v>287.8</v>
      </c>
      <c r="F330" s="17">
        <f>F331+F333</f>
        <v>287.8</v>
      </c>
      <c r="G330" s="17"/>
      <c r="H330" s="120"/>
      <c r="I330" s="108">
        <f t="shared" si="127"/>
        <v>0</v>
      </c>
      <c r="J330" s="108">
        <f t="shared" si="127"/>
        <v>1000</v>
      </c>
      <c r="K330" s="129"/>
    </row>
    <row r="331" spans="1:20" ht="18.75" customHeight="1">
      <c r="A331" s="28" t="s">
        <v>591</v>
      </c>
      <c r="B331" s="16" t="s">
        <v>592</v>
      </c>
      <c r="C331" s="15"/>
      <c r="D331" s="17"/>
      <c r="E331" s="13">
        <f t="shared" si="124"/>
        <v>187.8</v>
      </c>
      <c r="F331" s="17">
        <f>F332</f>
        <v>187.8</v>
      </c>
      <c r="G331" s="117"/>
      <c r="H331" s="140"/>
      <c r="I331" s="108">
        <f t="shared" si="127"/>
        <v>0</v>
      </c>
      <c r="J331" s="108">
        <f t="shared" si="127"/>
        <v>1000</v>
      </c>
      <c r="K331" s="129"/>
    </row>
    <row r="332" spans="1:20" ht="18.75" customHeight="1">
      <c r="A332" s="28" t="s">
        <v>19</v>
      </c>
      <c r="B332" s="16" t="s">
        <v>592</v>
      </c>
      <c r="C332" s="15" t="s">
        <v>20</v>
      </c>
      <c r="D332" s="17"/>
      <c r="E332" s="13">
        <f t="shared" si="124"/>
        <v>187.8</v>
      </c>
      <c r="F332" s="17">
        <v>187.8</v>
      </c>
      <c r="G332" s="117"/>
      <c r="H332" s="140"/>
      <c r="I332" s="108">
        <f t="shared" si="127"/>
        <v>0</v>
      </c>
      <c r="J332" s="108">
        <f t="shared" si="127"/>
        <v>1000</v>
      </c>
      <c r="K332" s="129"/>
    </row>
    <row r="333" spans="1:20" ht="28.5" customHeight="1">
      <c r="A333" s="28" t="s">
        <v>582</v>
      </c>
      <c r="B333" s="16" t="s">
        <v>593</v>
      </c>
      <c r="C333" s="15"/>
      <c r="D333" s="17"/>
      <c r="E333" s="13">
        <f t="shared" si="124"/>
        <v>100</v>
      </c>
      <c r="F333" s="17">
        <f>F334</f>
        <v>100</v>
      </c>
      <c r="G333" s="17"/>
      <c r="H333" s="120"/>
      <c r="I333" s="107"/>
      <c r="J333" s="107">
        <v>1000</v>
      </c>
      <c r="K333" s="129"/>
    </row>
    <row r="334" spans="1:20" s="47" customFormat="1" ht="25.5" customHeight="1">
      <c r="A334" s="28" t="s">
        <v>101</v>
      </c>
      <c r="B334" s="16" t="s">
        <v>593</v>
      </c>
      <c r="C334" s="15" t="s">
        <v>102</v>
      </c>
      <c r="D334" s="17"/>
      <c r="E334" s="13">
        <f t="shared" si="124"/>
        <v>100</v>
      </c>
      <c r="F334" s="17">
        <v>100</v>
      </c>
      <c r="G334" s="21">
        <f>G335+G364+G372</f>
        <v>98654.31</v>
      </c>
      <c r="H334" s="121"/>
      <c r="I334" s="113">
        <f t="shared" ref="I334:J334" si="128">I335+I364+I372</f>
        <v>61247.32</v>
      </c>
      <c r="J334" s="113">
        <f t="shared" si="128"/>
        <v>104155.68000000001</v>
      </c>
      <c r="K334" s="129"/>
      <c r="P334" s="155">
        <f>F343+F344+F345+F346+F347+F349+F350+F363+F371+F380+F382+F389</f>
        <v>57719.42</v>
      </c>
      <c r="Q334" s="155">
        <f>F334-P334</f>
        <v>-57619.42</v>
      </c>
      <c r="S334" s="155">
        <f t="shared" ref="S334:T334" si="129">I343+I344+I345+I346+I347+I349+I350+I363+I371+I380+I382+I389</f>
        <v>61247.32</v>
      </c>
      <c r="T334" s="155">
        <f t="shared" si="129"/>
        <v>104155.68</v>
      </c>
    </row>
    <row r="335" spans="1:20" s="47" customFormat="1" ht="15" customHeight="1">
      <c r="A335" s="28" t="s">
        <v>78</v>
      </c>
      <c r="B335" s="15" t="s">
        <v>79</v>
      </c>
      <c r="C335" s="15"/>
      <c r="D335" s="17">
        <f>D336</f>
        <v>4905.2000000000007</v>
      </c>
      <c r="E335" s="13">
        <f t="shared" si="124"/>
        <v>-4905.2000000000007</v>
      </c>
      <c r="F335" s="17">
        <v>0</v>
      </c>
      <c r="G335" s="21">
        <f>G336</f>
        <v>5783.41</v>
      </c>
      <c r="H335" s="121"/>
      <c r="I335" s="113">
        <f t="shared" ref="I335:J335" si="130">I336+I358</f>
        <v>4760.42</v>
      </c>
      <c r="J335" s="113">
        <f t="shared" si="130"/>
        <v>8083.3799999999992</v>
      </c>
      <c r="K335" s="129"/>
    </row>
    <row r="336" spans="1:20" s="47" customFormat="1" ht="38.25" customHeight="1">
      <c r="A336" s="28" t="s">
        <v>19</v>
      </c>
      <c r="B336" s="15" t="s">
        <v>79</v>
      </c>
      <c r="C336" s="15" t="s">
        <v>20</v>
      </c>
      <c r="D336" s="17">
        <f>4856.1+49.1</f>
        <v>4905.2000000000007</v>
      </c>
      <c r="E336" s="13">
        <f t="shared" si="124"/>
        <v>-4905.2000000000007</v>
      </c>
      <c r="F336" s="17">
        <v>0</v>
      </c>
      <c r="G336" s="21">
        <f>G339</f>
        <v>5783.41</v>
      </c>
      <c r="H336" s="121"/>
      <c r="I336" s="113">
        <f t="shared" ref="I336:J336" si="131">I337</f>
        <v>4760.42</v>
      </c>
      <c r="J336" s="113">
        <f t="shared" si="131"/>
        <v>5219.07</v>
      </c>
      <c r="K336" s="129"/>
    </row>
    <row r="337" spans="1:11" ht="27.75" customHeight="1">
      <c r="A337" s="28" t="s">
        <v>240</v>
      </c>
      <c r="B337" s="15" t="s">
        <v>99</v>
      </c>
      <c r="C337" s="15"/>
      <c r="D337" s="17"/>
      <c r="E337" s="13">
        <f t="shared" si="124"/>
        <v>0</v>
      </c>
      <c r="F337" s="17">
        <v>0</v>
      </c>
      <c r="G337" s="17">
        <f>G339</f>
        <v>5783.41</v>
      </c>
      <c r="H337" s="120"/>
      <c r="I337" s="108">
        <f t="shared" ref="I337:J337" si="132">I340+I348</f>
        <v>4760.42</v>
      </c>
      <c r="J337" s="108">
        <f t="shared" si="132"/>
        <v>5219.07</v>
      </c>
      <c r="K337" s="129"/>
    </row>
    <row r="338" spans="1:11" ht="27.75" customHeight="1">
      <c r="A338" s="28" t="s">
        <v>98</v>
      </c>
      <c r="B338" s="15" t="s">
        <v>99</v>
      </c>
      <c r="C338" s="7"/>
      <c r="D338" s="17">
        <f>D339</f>
        <v>0</v>
      </c>
      <c r="E338" s="13">
        <f t="shared" si="124"/>
        <v>0</v>
      </c>
      <c r="F338" s="17">
        <v>0</v>
      </c>
      <c r="G338" s="115"/>
      <c r="H338" s="144"/>
      <c r="I338" s="114"/>
      <c r="J338" s="114"/>
      <c r="K338" s="129"/>
    </row>
    <row r="339" spans="1:11" ht="24" customHeight="1">
      <c r="A339" s="28" t="s">
        <v>576</v>
      </c>
      <c r="B339" s="16" t="s">
        <v>535</v>
      </c>
      <c r="C339" s="15"/>
      <c r="D339" s="17"/>
      <c r="E339" s="13">
        <f t="shared" si="124"/>
        <v>1000</v>
      </c>
      <c r="F339" s="17">
        <f>F340</f>
        <v>1000</v>
      </c>
      <c r="G339" s="115">
        <f>G340</f>
        <v>5783.41</v>
      </c>
      <c r="H339" s="144"/>
      <c r="I339" s="145"/>
      <c r="J339" s="145"/>
      <c r="K339" s="129"/>
    </row>
    <row r="340" spans="1:11" ht="22.5" customHeight="1">
      <c r="A340" s="28" t="s">
        <v>591</v>
      </c>
      <c r="B340" s="16" t="s">
        <v>589</v>
      </c>
      <c r="C340" s="15"/>
      <c r="D340" s="17"/>
      <c r="E340" s="13">
        <f t="shared" si="124"/>
        <v>1000</v>
      </c>
      <c r="F340" s="17">
        <f>F341</f>
        <v>1000</v>
      </c>
      <c r="G340" s="17">
        <f>G351+G354</f>
        <v>5783.41</v>
      </c>
      <c r="H340" s="120"/>
      <c r="I340" s="108">
        <f t="shared" ref="I340:J341" si="133">I341</f>
        <v>4760.42</v>
      </c>
      <c r="J340" s="108">
        <f t="shared" si="133"/>
        <v>5219.07</v>
      </c>
      <c r="K340" s="129"/>
    </row>
    <row r="341" spans="1:11" ht="25.5" customHeight="1">
      <c r="A341" s="14" t="s">
        <v>19</v>
      </c>
      <c r="B341" s="16" t="s">
        <v>589</v>
      </c>
      <c r="C341" s="15" t="s">
        <v>20</v>
      </c>
      <c r="D341" s="17"/>
      <c r="E341" s="13">
        <f t="shared" si="124"/>
        <v>1000</v>
      </c>
      <c r="F341" s="17">
        <v>1000</v>
      </c>
      <c r="G341" s="17"/>
      <c r="H341" s="120"/>
      <c r="I341" s="108">
        <f t="shared" si="133"/>
        <v>4760.42</v>
      </c>
      <c r="J341" s="108">
        <f t="shared" si="133"/>
        <v>5219.07</v>
      </c>
      <c r="K341" s="129"/>
    </row>
    <row r="342" spans="1:11" ht="25.5" customHeight="1">
      <c r="A342" s="28" t="s">
        <v>229</v>
      </c>
      <c r="B342" s="15" t="s">
        <v>230</v>
      </c>
      <c r="C342" s="15"/>
      <c r="D342" s="17">
        <f>D343</f>
        <v>100</v>
      </c>
      <c r="E342" s="13">
        <f t="shared" si="124"/>
        <v>-100</v>
      </c>
      <c r="F342" s="17">
        <v>0</v>
      </c>
      <c r="G342" s="17"/>
      <c r="H342" s="120"/>
      <c r="I342" s="108">
        <f t="shared" ref="I342:J342" si="134">SUM(I343:I347)</f>
        <v>4760.42</v>
      </c>
      <c r="J342" s="108">
        <f t="shared" si="134"/>
        <v>5219.07</v>
      </c>
      <c r="K342" s="129"/>
    </row>
    <row r="343" spans="1:11" ht="25.5" customHeight="1">
      <c r="A343" s="28" t="s">
        <v>19</v>
      </c>
      <c r="B343" s="15" t="s">
        <v>230</v>
      </c>
      <c r="C343" s="15" t="s">
        <v>20</v>
      </c>
      <c r="D343" s="17">
        <v>100</v>
      </c>
      <c r="E343" s="13">
        <f t="shared" si="124"/>
        <v>-100</v>
      </c>
      <c r="F343" s="17">
        <v>0</v>
      </c>
      <c r="G343" s="17"/>
      <c r="H343" s="120"/>
      <c r="I343" s="107">
        <f t="shared" ref="I343:J343" si="135">3825.19-186.16</f>
        <v>3639.03</v>
      </c>
      <c r="J343" s="107">
        <f t="shared" si="135"/>
        <v>3639.03</v>
      </c>
      <c r="K343" s="129"/>
    </row>
    <row r="344" spans="1:11" ht="36.75" customHeight="1">
      <c r="A344" s="28" t="s">
        <v>274</v>
      </c>
      <c r="B344" s="15" t="s">
        <v>100</v>
      </c>
      <c r="C344" s="15"/>
      <c r="D344" s="17">
        <f>D345</f>
        <v>100</v>
      </c>
      <c r="E344" s="13">
        <f t="shared" si="124"/>
        <v>-100</v>
      </c>
      <c r="F344" s="17">
        <v>0</v>
      </c>
      <c r="G344" s="17"/>
      <c r="H344" s="120"/>
      <c r="I344" s="107">
        <v>22.4</v>
      </c>
      <c r="J344" s="107">
        <v>22.4</v>
      </c>
      <c r="K344" s="129"/>
    </row>
    <row r="345" spans="1:11" ht="18.75" customHeight="1">
      <c r="A345" s="28" t="s">
        <v>101</v>
      </c>
      <c r="B345" s="15" t="s">
        <v>100</v>
      </c>
      <c r="C345" s="15" t="s">
        <v>102</v>
      </c>
      <c r="D345" s="17">
        <v>100</v>
      </c>
      <c r="E345" s="13">
        <f t="shared" si="124"/>
        <v>-100</v>
      </c>
      <c r="F345" s="17">
        <v>0</v>
      </c>
      <c r="G345" s="17"/>
      <c r="H345" s="120"/>
      <c r="I345" s="107">
        <f t="shared" ref="I345:J345" si="136">1155.21-56.22</f>
        <v>1098.99</v>
      </c>
      <c r="J345" s="107">
        <f t="shared" si="136"/>
        <v>1098.99</v>
      </c>
      <c r="K345" s="129"/>
    </row>
    <row r="346" spans="1:11" ht="25.5" customHeight="1">
      <c r="A346" s="14" t="s">
        <v>404</v>
      </c>
      <c r="B346" s="15" t="s">
        <v>405</v>
      </c>
      <c r="C346" s="15"/>
      <c r="D346" s="17">
        <f>D347</f>
        <v>3262.7999999999997</v>
      </c>
      <c r="E346" s="13">
        <f t="shared" si="124"/>
        <v>-916.13000000000011</v>
      </c>
      <c r="F346" s="17">
        <f>F347</f>
        <v>2346.6699999999996</v>
      </c>
      <c r="G346" s="17"/>
      <c r="H346" s="120"/>
      <c r="I346" s="107"/>
      <c r="J346" s="107">
        <f t="shared" ref="J346" si="137">5461.45-3639.03-22.4-1098.99-186.16-56.22</f>
        <v>458.64999999999952</v>
      </c>
      <c r="K346" s="129"/>
    </row>
    <row r="347" spans="1:11" ht="15" customHeight="1">
      <c r="A347" s="14" t="s">
        <v>406</v>
      </c>
      <c r="B347" s="15" t="s">
        <v>407</v>
      </c>
      <c r="C347" s="15"/>
      <c r="D347" s="17">
        <f>D348</f>
        <v>3262.7999999999997</v>
      </c>
      <c r="E347" s="13">
        <f t="shared" si="124"/>
        <v>-916.13000000000011</v>
      </c>
      <c r="F347" s="17">
        <f>F348</f>
        <v>2346.6699999999996</v>
      </c>
      <c r="G347" s="17"/>
      <c r="H347" s="120"/>
      <c r="I347" s="107"/>
      <c r="J347" s="107"/>
      <c r="K347" s="129"/>
    </row>
    <row r="348" spans="1:11" ht="15" customHeight="1">
      <c r="A348" s="14" t="s">
        <v>139</v>
      </c>
      <c r="B348" s="15" t="s">
        <v>407</v>
      </c>
      <c r="C348" s="15" t="s">
        <v>140</v>
      </c>
      <c r="D348" s="17">
        <f>3230.2+32.6</f>
        <v>3262.7999999999997</v>
      </c>
      <c r="E348" s="13">
        <f t="shared" si="124"/>
        <v>-916.13000000000011</v>
      </c>
      <c r="F348" s="17">
        <f>2323.2+23.47</f>
        <v>2346.6699999999996</v>
      </c>
      <c r="G348" s="17"/>
      <c r="H348" s="120"/>
      <c r="I348" s="108">
        <f t="shared" ref="I348:J348" si="138">I349+I350</f>
        <v>0</v>
      </c>
      <c r="J348" s="108">
        <f t="shared" si="138"/>
        <v>0</v>
      </c>
      <c r="K348" s="129"/>
    </row>
    <row r="349" spans="1:11" ht="15" customHeight="1">
      <c r="A349" s="28" t="s">
        <v>529</v>
      </c>
      <c r="B349" s="15" t="s">
        <v>527</v>
      </c>
      <c r="C349" s="15"/>
      <c r="D349" s="17"/>
      <c r="E349" s="13">
        <f t="shared" si="124"/>
        <v>11266.2</v>
      </c>
      <c r="F349" s="17">
        <f>F350</f>
        <v>11266.2</v>
      </c>
      <c r="G349" s="17"/>
      <c r="H349" s="120"/>
      <c r="I349" s="107"/>
      <c r="J349" s="107"/>
      <c r="K349" s="132" t="s">
        <v>524</v>
      </c>
    </row>
    <row r="350" spans="1:11" ht="15" customHeight="1">
      <c r="A350" s="28" t="s">
        <v>19</v>
      </c>
      <c r="B350" s="15" t="s">
        <v>527</v>
      </c>
      <c r="C350" s="15" t="s">
        <v>20</v>
      </c>
      <c r="D350" s="17"/>
      <c r="E350" s="13">
        <f t="shared" si="124"/>
        <v>11266.2</v>
      </c>
      <c r="F350" s="17">
        <v>11266.2</v>
      </c>
      <c r="G350" s="17"/>
      <c r="H350" s="120"/>
      <c r="I350" s="107"/>
      <c r="J350" s="107"/>
      <c r="K350" s="132" t="s">
        <v>524</v>
      </c>
    </row>
    <row r="351" spans="1:11" ht="18.75" customHeight="1">
      <c r="A351" s="30" t="s">
        <v>260</v>
      </c>
      <c r="B351" s="15" t="s">
        <v>259</v>
      </c>
      <c r="C351" s="7"/>
      <c r="D351" s="13">
        <f>D352+D376</f>
        <v>38509.019999999997</v>
      </c>
      <c r="E351" s="13">
        <f t="shared" si="124"/>
        <v>2859.1899999999951</v>
      </c>
      <c r="F351" s="13">
        <f>F352+F377</f>
        <v>41368.209999999992</v>
      </c>
      <c r="G351" s="115">
        <f>SUBTOTAL(9,G352:G353)</f>
        <v>5460.2</v>
      </c>
      <c r="H351" s="120"/>
      <c r="I351" s="124"/>
      <c r="J351" s="124"/>
      <c r="K351" s="129"/>
    </row>
    <row r="352" spans="1:11" ht="21.75" hidden="1" customHeight="1">
      <c r="A352" s="30" t="s">
        <v>260</v>
      </c>
      <c r="B352" s="15" t="s">
        <v>259</v>
      </c>
      <c r="C352" s="54"/>
      <c r="D352" s="17">
        <f>D353</f>
        <v>35674.619999999995</v>
      </c>
      <c r="E352" s="13">
        <f t="shared" si="124"/>
        <v>5333.3899999999994</v>
      </c>
      <c r="F352" s="17">
        <f>F353</f>
        <v>41008.009999999995</v>
      </c>
      <c r="G352" s="115">
        <v>4193.7</v>
      </c>
      <c r="H352" s="120"/>
      <c r="I352" s="124"/>
      <c r="J352" s="124"/>
      <c r="K352" s="129"/>
    </row>
    <row r="353" spans="1:11" ht="21" hidden="1" customHeight="1">
      <c r="A353" s="30" t="s">
        <v>260</v>
      </c>
      <c r="B353" s="15" t="s">
        <v>259</v>
      </c>
      <c r="C353" s="15"/>
      <c r="D353" s="17">
        <f>D354</f>
        <v>35674.619999999995</v>
      </c>
      <c r="E353" s="13">
        <f t="shared" si="124"/>
        <v>5333.3899999999994</v>
      </c>
      <c r="F353" s="17">
        <f>F354</f>
        <v>41008.009999999995</v>
      </c>
      <c r="G353" s="115">
        <v>1266.5</v>
      </c>
      <c r="H353" s="120"/>
      <c r="I353" s="124"/>
      <c r="J353" s="124"/>
      <c r="K353" s="129"/>
    </row>
    <row r="354" spans="1:11" ht="17.25" hidden="1" customHeight="1">
      <c r="A354" s="30" t="s">
        <v>260</v>
      </c>
      <c r="B354" s="15" t="s">
        <v>259</v>
      </c>
      <c r="C354" s="15"/>
      <c r="D354" s="17">
        <f>D355</f>
        <v>35674.619999999995</v>
      </c>
      <c r="E354" s="13">
        <f t="shared" si="124"/>
        <v>5333.3899999999994</v>
      </c>
      <c r="F354" s="17">
        <f>F355</f>
        <v>41008.009999999995</v>
      </c>
      <c r="G354" s="115">
        <f>SUBTOTAL(9,G355:G357)</f>
        <v>323.20999999999998</v>
      </c>
      <c r="H354" s="144"/>
      <c r="I354" s="145"/>
      <c r="J354" s="145"/>
      <c r="K354" s="129"/>
    </row>
    <row r="355" spans="1:11" ht="30.75" customHeight="1">
      <c r="A355" s="30" t="s">
        <v>26</v>
      </c>
      <c r="B355" s="7" t="s">
        <v>343</v>
      </c>
      <c r="C355" s="7"/>
      <c r="D355" s="13">
        <f>D356+D377</f>
        <v>35674.619999999995</v>
      </c>
      <c r="E355" s="13">
        <f t="shared" si="124"/>
        <v>5333.3899999999994</v>
      </c>
      <c r="F355" s="13">
        <f>F356+F377</f>
        <v>41008.009999999995</v>
      </c>
      <c r="G355" s="115"/>
      <c r="H355" s="144"/>
      <c r="I355" s="145"/>
      <c r="J355" s="145"/>
      <c r="K355" s="129"/>
    </row>
    <row r="356" spans="1:11" ht="25.5" customHeight="1">
      <c r="A356" s="161" t="s">
        <v>490</v>
      </c>
      <c r="B356" s="7" t="s">
        <v>344</v>
      </c>
      <c r="C356" s="7"/>
      <c r="D356" s="13">
        <f>D366+D369+D375</f>
        <v>34615.53</v>
      </c>
      <c r="E356" s="13">
        <f t="shared" si="124"/>
        <v>6032.2799999999988</v>
      </c>
      <c r="F356" s="13">
        <f>F357+F364</f>
        <v>40647.81</v>
      </c>
      <c r="G356" s="115">
        <f>90.71+182.5+48</f>
        <v>321.20999999999998</v>
      </c>
      <c r="H356" s="144"/>
      <c r="I356" s="145"/>
      <c r="J356" s="145"/>
      <c r="K356" s="129"/>
    </row>
    <row r="357" spans="1:11" ht="15" customHeight="1">
      <c r="A357" s="28" t="s">
        <v>540</v>
      </c>
      <c r="B357" s="7" t="s">
        <v>537</v>
      </c>
      <c r="C357" s="7"/>
      <c r="D357" s="13"/>
      <c r="E357" s="13">
        <f t="shared" si="124"/>
        <v>38395.17</v>
      </c>
      <c r="F357" s="13">
        <f>F358+F359+F360+F361+F362+F363</f>
        <v>38395.17</v>
      </c>
      <c r="G357" s="115">
        <v>2</v>
      </c>
      <c r="H357" s="144"/>
      <c r="I357" s="145"/>
      <c r="J357" s="145"/>
      <c r="K357" s="129"/>
    </row>
    <row r="358" spans="1:11" ht="15" customHeight="1">
      <c r="A358" s="161" t="s">
        <v>489</v>
      </c>
      <c r="B358" s="7" t="s">
        <v>537</v>
      </c>
      <c r="C358" s="7" t="s">
        <v>11</v>
      </c>
      <c r="D358" s="13"/>
      <c r="E358" s="13">
        <f t="shared" si="124"/>
        <v>28314.09</v>
      </c>
      <c r="F358" s="13">
        <v>28314.09</v>
      </c>
      <c r="G358" s="117"/>
      <c r="H358" s="120"/>
      <c r="I358" s="108">
        <f t="shared" ref="I358:J362" si="139">I359</f>
        <v>0</v>
      </c>
      <c r="J358" s="108">
        <f t="shared" si="139"/>
        <v>2864.31</v>
      </c>
      <c r="K358" s="129"/>
    </row>
    <row r="359" spans="1:11" ht="15" customHeight="1">
      <c r="A359" s="32" t="s">
        <v>15</v>
      </c>
      <c r="B359" s="7" t="s">
        <v>537</v>
      </c>
      <c r="C359" s="7" t="s">
        <v>16</v>
      </c>
      <c r="D359" s="13"/>
      <c r="E359" s="13">
        <f t="shared" si="124"/>
        <v>344.28</v>
      </c>
      <c r="F359" s="13">
        <v>344.28</v>
      </c>
      <c r="G359" s="117"/>
      <c r="H359" s="120"/>
      <c r="I359" s="108">
        <f t="shared" si="139"/>
        <v>0</v>
      </c>
      <c r="J359" s="108">
        <f t="shared" si="139"/>
        <v>2864.31</v>
      </c>
      <c r="K359" s="129"/>
    </row>
    <row r="360" spans="1:11" ht="42.75" customHeight="1">
      <c r="A360" s="28" t="s">
        <v>12</v>
      </c>
      <c r="B360" s="7" t="s">
        <v>537</v>
      </c>
      <c r="C360" s="7" t="s">
        <v>13</v>
      </c>
      <c r="D360" s="13"/>
      <c r="E360" s="13">
        <f t="shared" si="124"/>
        <v>8550.85</v>
      </c>
      <c r="F360" s="13">
        <v>8550.85</v>
      </c>
      <c r="G360" s="117"/>
      <c r="H360" s="120"/>
      <c r="I360" s="108">
        <f t="shared" si="139"/>
        <v>0</v>
      </c>
      <c r="J360" s="108">
        <f t="shared" si="139"/>
        <v>2864.31</v>
      </c>
      <c r="K360" s="129"/>
    </row>
    <row r="361" spans="1:11" ht="33" customHeight="1">
      <c r="A361" s="28" t="s">
        <v>19</v>
      </c>
      <c r="B361" s="7" t="s">
        <v>537</v>
      </c>
      <c r="C361" s="7" t="s">
        <v>20</v>
      </c>
      <c r="D361" s="13"/>
      <c r="E361" s="13">
        <f t="shared" si="124"/>
        <v>834.11999999999671</v>
      </c>
      <c r="F361" s="13">
        <f>40647.81-37209.22-351.83-2252.64</f>
        <v>834.11999999999671</v>
      </c>
      <c r="G361" s="117"/>
      <c r="H361" s="120"/>
      <c r="I361" s="108">
        <f t="shared" si="139"/>
        <v>0</v>
      </c>
      <c r="J361" s="108">
        <f t="shared" si="139"/>
        <v>2864.31</v>
      </c>
      <c r="K361" s="129"/>
    </row>
    <row r="362" spans="1:11" ht="27.75" customHeight="1">
      <c r="A362" s="28" t="s">
        <v>30</v>
      </c>
      <c r="B362" s="7" t="s">
        <v>537</v>
      </c>
      <c r="C362" s="7" t="s">
        <v>31</v>
      </c>
      <c r="D362" s="13"/>
      <c r="E362" s="13">
        <f t="shared" si="124"/>
        <v>343.33</v>
      </c>
      <c r="F362" s="13">
        <f>351.83-8.5</f>
        <v>343.33</v>
      </c>
      <c r="G362" s="117"/>
      <c r="H362" s="120"/>
      <c r="I362" s="108">
        <f t="shared" si="139"/>
        <v>0</v>
      </c>
      <c r="J362" s="108">
        <f t="shared" si="139"/>
        <v>2864.31</v>
      </c>
      <c r="K362" s="129"/>
    </row>
    <row r="363" spans="1:11" ht="15" customHeight="1">
      <c r="A363" s="28" t="s">
        <v>32</v>
      </c>
      <c r="B363" s="7" t="s">
        <v>537</v>
      </c>
      <c r="C363" s="7" t="s">
        <v>33</v>
      </c>
      <c r="D363" s="13"/>
      <c r="E363" s="13">
        <f t="shared" si="124"/>
        <v>8.5</v>
      </c>
      <c r="F363" s="13">
        <v>8.5</v>
      </c>
      <c r="G363" s="117"/>
      <c r="H363" s="120"/>
      <c r="I363" s="107"/>
      <c r="J363" s="107">
        <f>1104+1400-55.96+466.27-50</f>
        <v>2864.31</v>
      </c>
      <c r="K363" s="143" t="s">
        <v>548</v>
      </c>
    </row>
    <row r="364" spans="1:11" s="47" customFormat="1" ht="26.25" customHeight="1">
      <c r="A364" s="14" t="s">
        <v>261</v>
      </c>
      <c r="B364" s="7" t="s">
        <v>493</v>
      </c>
      <c r="C364" s="7"/>
      <c r="D364" s="13"/>
      <c r="E364" s="13">
        <f t="shared" si="124"/>
        <v>2252.64</v>
      </c>
      <c r="F364" s="13">
        <f>F365</f>
        <v>2252.64</v>
      </c>
      <c r="G364" s="21">
        <f>G368</f>
        <v>50</v>
      </c>
      <c r="H364" s="121"/>
      <c r="I364" s="108">
        <f t="shared" ref="I364:J370" si="140">I365</f>
        <v>50</v>
      </c>
      <c r="J364" s="108">
        <f t="shared" si="140"/>
        <v>50</v>
      </c>
      <c r="K364" s="129"/>
    </row>
    <row r="365" spans="1:11" s="47" customFormat="1" ht="26.25" customHeight="1">
      <c r="A365" s="28" t="s">
        <v>19</v>
      </c>
      <c r="B365" s="7" t="s">
        <v>493</v>
      </c>
      <c r="C365" s="7" t="s">
        <v>20</v>
      </c>
      <c r="D365" s="13"/>
      <c r="E365" s="13">
        <f t="shared" si="124"/>
        <v>2252.64</v>
      </c>
      <c r="F365" s="13">
        <v>2252.64</v>
      </c>
      <c r="G365" s="21">
        <f t="shared" ref="G365:G367" si="141">G366</f>
        <v>50</v>
      </c>
      <c r="H365" s="121"/>
      <c r="I365" s="108">
        <f t="shared" si="140"/>
        <v>50</v>
      </c>
      <c r="J365" s="108">
        <f t="shared" si="140"/>
        <v>50</v>
      </c>
      <c r="K365" s="129"/>
    </row>
    <row r="366" spans="1:11" s="53" customFormat="1" ht="30" customHeight="1">
      <c r="A366" s="28" t="s">
        <v>28</v>
      </c>
      <c r="B366" s="7" t="s">
        <v>345</v>
      </c>
      <c r="C366" s="7"/>
      <c r="D366" s="13">
        <f>D367+D368</f>
        <v>30089</v>
      </c>
      <c r="E366" s="13">
        <f t="shared" si="124"/>
        <v>-30089</v>
      </c>
      <c r="F366" s="13">
        <f>F367+F368</f>
        <v>0</v>
      </c>
      <c r="G366" s="17">
        <f t="shared" si="141"/>
        <v>50</v>
      </c>
      <c r="H366" s="123"/>
      <c r="I366" s="108">
        <f t="shared" si="140"/>
        <v>50</v>
      </c>
      <c r="J366" s="108">
        <f t="shared" si="140"/>
        <v>50</v>
      </c>
      <c r="K366" s="129"/>
    </row>
    <row r="367" spans="1:11" ht="19.5" customHeight="1">
      <c r="A367" s="28" t="s">
        <v>10</v>
      </c>
      <c r="B367" s="7" t="s">
        <v>345</v>
      </c>
      <c r="C367" s="15" t="s">
        <v>11</v>
      </c>
      <c r="D367" s="13">
        <v>23336.1</v>
      </c>
      <c r="E367" s="13">
        <f t="shared" si="124"/>
        <v>-23336.1</v>
      </c>
      <c r="F367" s="13">
        <v>0</v>
      </c>
      <c r="G367" s="17">
        <f t="shared" si="141"/>
        <v>50</v>
      </c>
      <c r="H367" s="120"/>
      <c r="I367" s="108">
        <f t="shared" si="140"/>
        <v>50</v>
      </c>
      <c r="J367" s="108">
        <f t="shared" si="140"/>
        <v>50</v>
      </c>
      <c r="K367" s="129"/>
    </row>
    <row r="368" spans="1:11" ht="25.5" customHeight="1">
      <c r="A368" s="28" t="s">
        <v>12</v>
      </c>
      <c r="B368" s="7" t="s">
        <v>345</v>
      </c>
      <c r="C368" s="15" t="s">
        <v>13</v>
      </c>
      <c r="D368" s="13">
        <v>6752.9</v>
      </c>
      <c r="E368" s="13">
        <f t="shared" si="124"/>
        <v>-6752.9</v>
      </c>
      <c r="F368" s="13">
        <v>0</v>
      </c>
      <c r="G368" s="17">
        <f>G370</f>
        <v>50</v>
      </c>
      <c r="H368" s="120"/>
      <c r="I368" s="108">
        <f t="shared" si="140"/>
        <v>50</v>
      </c>
      <c r="J368" s="108">
        <f t="shared" si="140"/>
        <v>50</v>
      </c>
      <c r="K368" s="129"/>
    </row>
    <row r="369" spans="1:11" ht="18" customHeight="1">
      <c r="A369" s="28" t="s">
        <v>29</v>
      </c>
      <c r="B369" s="7" t="s">
        <v>346</v>
      </c>
      <c r="C369" s="7"/>
      <c r="D369" s="13">
        <f>SUM(D370:D374)</f>
        <v>1692.1299999999999</v>
      </c>
      <c r="E369" s="13">
        <f t="shared" si="124"/>
        <v>-1692.1299999999999</v>
      </c>
      <c r="F369" s="13">
        <v>0</v>
      </c>
      <c r="G369" s="17"/>
      <c r="H369" s="120"/>
      <c r="I369" s="108">
        <f t="shared" si="140"/>
        <v>50</v>
      </c>
      <c r="J369" s="108">
        <f t="shared" si="140"/>
        <v>50</v>
      </c>
      <c r="K369" s="129"/>
    </row>
    <row r="370" spans="1:11" ht="15" customHeight="1">
      <c r="A370" s="32" t="s">
        <v>15</v>
      </c>
      <c r="B370" s="7" t="s">
        <v>346</v>
      </c>
      <c r="C370" s="15" t="s">
        <v>16</v>
      </c>
      <c r="D370" s="13"/>
      <c r="E370" s="13">
        <f t="shared" si="124"/>
        <v>0</v>
      </c>
      <c r="F370" s="13">
        <v>0</v>
      </c>
      <c r="G370" s="17">
        <f>G371</f>
        <v>50</v>
      </c>
      <c r="H370" s="120"/>
      <c r="I370" s="108">
        <f t="shared" si="140"/>
        <v>50</v>
      </c>
      <c r="J370" s="108">
        <f t="shared" si="140"/>
        <v>50</v>
      </c>
      <c r="K370" s="129"/>
    </row>
    <row r="371" spans="1:11" ht="15" customHeight="1">
      <c r="A371" s="28" t="s">
        <v>19</v>
      </c>
      <c r="B371" s="7" t="s">
        <v>346</v>
      </c>
      <c r="C371" s="15" t="s">
        <v>20</v>
      </c>
      <c r="D371" s="13">
        <f>117.12+244+72.26+83.5+420+292.1</f>
        <v>1228.98</v>
      </c>
      <c r="E371" s="13">
        <f t="shared" si="124"/>
        <v>-1228.98</v>
      </c>
      <c r="F371" s="13">
        <v>0</v>
      </c>
      <c r="G371" s="117">
        <v>50</v>
      </c>
      <c r="H371" s="120"/>
      <c r="I371" s="107">
        <v>50</v>
      </c>
      <c r="J371" s="107">
        <v>50</v>
      </c>
      <c r="K371" s="129"/>
    </row>
    <row r="372" spans="1:11" s="47" customFormat="1" ht="15" customHeight="1">
      <c r="A372" s="28" t="s">
        <v>30</v>
      </c>
      <c r="B372" s="7" t="s">
        <v>346</v>
      </c>
      <c r="C372" s="15" t="s">
        <v>31</v>
      </c>
      <c r="D372" s="13">
        <f>451.56+5.29</f>
        <v>456.85</v>
      </c>
      <c r="E372" s="13">
        <f t="shared" si="124"/>
        <v>-456.85</v>
      </c>
      <c r="F372" s="13">
        <v>0</v>
      </c>
      <c r="G372" s="21">
        <f>G373</f>
        <v>92820.9</v>
      </c>
      <c r="H372" s="121"/>
      <c r="I372" s="113">
        <f t="shared" ref="I372:J372" si="142">I373</f>
        <v>56436.9</v>
      </c>
      <c r="J372" s="113">
        <f t="shared" si="142"/>
        <v>96022.3</v>
      </c>
      <c r="K372" s="129"/>
    </row>
    <row r="373" spans="1:11" s="47" customFormat="1" ht="18.75" customHeight="1">
      <c r="A373" s="28" t="s">
        <v>32</v>
      </c>
      <c r="B373" s="7" t="s">
        <v>346</v>
      </c>
      <c r="C373" s="15" t="s">
        <v>33</v>
      </c>
      <c r="D373" s="13">
        <f>5.8</f>
        <v>5.8</v>
      </c>
      <c r="E373" s="13">
        <f t="shared" si="124"/>
        <v>-5.8</v>
      </c>
      <c r="F373" s="13">
        <v>0</v>
      </c>
      <c r="G373" s="21">
        <f>G374+G383</f>
        <v>92820.9</v>
      </c>
      <c r="H373" s="121"/>
      <c r="I373" s="113">
        <f t="shared" ref="I373:J373" si="143">I374+I383</f>
        <v>56436.9</v>
      </c>
      <c r="J373" s="113">
        <f t="shared" si="143"/>
        <v>96022.3</v>
      </c>
      <c r="K373" s="129"/>
    </row>
    <row r="374" spans="1:11" s="47" customFormat="1" ht="21.75" customHeight="1">
      <c r="A374" s="28" t="s">
        <v>21</v>
      </c>
      <c r="B374" s="7" t="s">
        <v>346</v>
      </c>
      <c r="C374" s="15" t="s">
        <v>22</v>
      </c>
      <c r="D374" s="13">
        <v>0.5</v>
      </c>
      <c r="E374" s="13">
        <f t="shared" si="124"/>
        <v>-0.5</v>
      </c>
      <c r="F374" s="13">
        <v>0</v>
      </c>
      <c r="G374" s="21">
        <f>G377</f>
        <v>54900.9</v>
      </c>
      <c r="H374" s="121"/>
      <c r="I374" s="113">
        <f t="shared" ref="I374:J376" si="144">I375</f>
        <v>56436.9</v>
      </c>
      <c r="J374" s="113">
        <f t="shared" si="144"/>
        <v>56436.9</v>
      </c>
      <c r="K374" s="129"/>
    </row>
    <row r="375" spans="1:11" ht="27.75" customHeight="1">
      <c r="A375" s="14" t="s">
        <v>261</v>
      </c>
      <c r="B375" s="39" t="s">
        <v>347</v>
      </c>
      <c r="C375" s="40"/>
      <c r="D375" s="13">
        <f>D376</f>
        <v>2834.4</v>
      </c>
      <c r="E375" s="13">
        <f t="shared" si="124"/>
        <v>-2834.4</v>
      </c>
      <c r="F375" s="13">
        <v>0</v>
      </c>
      <c r="G375" s="17">
        <f>G376</f>
        <v>54900.9</v>
      </c>
      <c r="H375" s="120"/>
      <c r="I375" s="108">
        <f t="shared" si="144"/>
        <v>56436.9</v>
      </c>
      <c r="J375" s="108">
        <f t="shared" si="144"/>
        <v>56436.9</v>
      </c>
      <c r="K375" s="129"/>
    </row>
    <row r="376" spans="1:11" ht="25.5" customHeight="1">
      <c r="A376" s="14" t="s">
        <v>19</v>
      </c>
      <c r="B376" s="39" t="s">
        <v>347</v>
      </c>
      <c r="C376" s="15" t="s">
        <v>20</v>
      </c>
      <c r="D376" s="13">
        <v>2834.4</v>
      </c>
      <c r="E376" s="13">
        <f t="shared" si="124"/>
        <v>-2834.4</v>
      </c>
      <c r="F376" s="13">
        <v>0</v>
      </c>
      <c r="G376" s="17">
        <f>G377</f>
        <v>54900.9</v>
      </c>
      <c r="H376" s="120"/>
      <c r="I376" s="108">
        <f t="shared" si="144"/>
        <v>56436.9</v>
      </c>
      <c r="J376" s="108">
        <f t="shared" si="144"/>
        <v>56436.9</v>
      </c>
      <c r="K376" s="129"/>
    </row>
    <row r="377" spans="1:11" ht="25.5" customHeight="1">
      <c r="A377" s="14" t="s">
        <v>398</v>
      </c>
      <c r="B377" s="39" t="s">
        <v>399</v>
      </c>
      <c r="C377" s="15"/>
      <c r="D377" s="13">
        <f>D378</f>
        <v>1059.0899999999999</v>
      </c>
      <c r="E377" s="13">
        <f t="shared" si="124"/>
        <v>-698.88999999999987</v>
      </c>
      <c r="F377" s="13">
        <f>F378</f>
        <v>360.20000000000005</v>
      </c>
      <c r="G377" s="17">
        <f>G379+G381</f>
        <v>54900.9</v>
      </c>
      <c r="H377" s="120"/>
      <c r="I377" s="108">
        <f t="shared" ref="I377:J377" si="145">I378+I381</f>
        <v>56436.9</v>
      </c>
      <c r="J377" s="108">
        <f t="shared" si="145"/>
        <v>56436.9</v>
      </c>
      <c r="K377" s="129"/>
    </row>
    <row r="378" spans="1:11" ht="25.5" customHeight="1">
      <c r="A378" s="14" t="s">
        <v>19</v>
      </c>
      <c r="B378" s="39" t="s">
        <v>399</v>
      </c>
      <c r="C378" s="15" t="s">
        <v>20</v>
      </c>
      <c r="D378" s="13">
        <f>1048.5+10.59</f>
        <v>1059.0899999999999</v>
      </c>
      <c r="E378" s="13">
        <f t="shared" si="124"/>
        <v>-698.88999999999987</v>
      </c>
      <c r="F378" s="13">
        <f>356.6+3.6</f>
        <v>360.20000000000005</v>
      </c>
      <c r="G378" s="17"/>
      <c r="H378" s="120"/>
      <c r="I378" s="108">
        <f t="shared" ref="I378:J379" si="146">I379</f>
        <v>48410</v>
      </c>
      <c r="J378" s="108">
        <f t="shared" si="146"/>
        <v>48410</v>
      </c>
      <c r="K378" s="129"/>
    </row>
    <row r="379" spans="1:11" ht="25.5" customHeight="1">
      <c r="A379" s="30" t="s">
        <v>215</v>
      </c>
      <c r="B379" s="7" t="s">
        <v>348</v>
      </c>
      <c r="C379" s="7"/>
      <c r="D379" s="13">
        <f>D380+D395+D393</f>
        <v>16841.71</v>
      </c>
      <c r="E379" s="13">
        <f t="shared" si="124"/>
        <v>-1599.1200000000008</v>
      </c>
      <c r="F379" s="13">
        <f>F380</f>
        <v>15242.589999999998</v>
      </c>
      <c r="G379" s="17">
        <f>G380</f>
        <v>47000</v>
      </c>
      <c r="H379" s="120"/>
      <c r="I379" s="108">
        <f t="shared" si="146"/>
        <v>48410</v>
      </c>
      <c r="J379" s="108">
        <f t="shared" si="146"/>
        <v>48410</v>
      </c>
      <c r="K379" s="129"/>
    </row>
    <row r="380" spans="1:11" ht="29.25" customHeight="1">
      <c r="A380" s="28" t="s">
        <v>215</v>
      </c>
      <c r="B380" s="16" t="s">
        <v>348</v>
      </c>
      <c r="C380" s="15"/>
      <c r="D380" s="17">
        <f>D381</f>
        <v>14844.710000000001</v>
      </c>
      <c r="E380" s="13">
        <f t="shared" si="124"/>
        <v>397.87999999999738</v>
      </c>
      <c r="F380" s="17">
        <f>F381</f>
        <v>15242.589999999998</v>
      </c>
      <c r="G380" s="117">
        <v>47000</v>
      </c>
      <c r="H380" s="120"/>
      <c r="I380" s="107">
        <v>48410</v>
      </c>
      <c r="J380" s="107">
        <v>48410</v>
      </c>
      <c r="K380" s="129"/>
    </row>
    <row r="381" spans="1:11" ht="22.5" customHeight="1">
      <c r="A381" s="161" t="s">
        <v>34</v>
      </c>
      <c r="B381" s="7" t="s">
        <v>349</v>
      </c>
      <c r="C381" s="7"/>
      <c r="D381" s="13">
        <f>D388+D391</f>
        <v>14844.710000000001</v>
      </c>
      <c r="E381" s="13">
        <f t="shared" si="124"/>
        <v>397.87999999999738</v>
      </c>
      <c r="F381" s="13">
        <f>F382</f>
        <v>15242.589999999998</v>
      </c>
      <c r="G381" s="17">
        <f>G382</f>
        <v>7900.9</v>
      </c>
      <c r="H381" s="120"/>
      <c r="I381" s="108">
        <f t="shared" ref="I381:J381" si="147">I382</f>
        <v>8026.9</v>
      </c>
      <c r="J381" s="108">
        <f t="shared" si="147"/>
        <v>8026.9</v>
      </c>
      <c r="K381" s="129"/>
    </row>
    <row r="382" spans="1:11" ht="15" customHeight="1">
      <c r="A382" s="161" t="s">
        <v>539</v>
      </c>
      <c r="B382" s="7" t="s">
        <v>538</v>
      </c>
      <c r="C382" s="7"/>
      <c r="D382" s="13"/>
      <c r="E382" s="13">
        <f t="shared" ref="E382:E445" si="148">F382-D382</f>
        <v>15242.589999999998</v>
      </c>
      <c r="F382" s="13">
        <f>F383+F384+F385+F386+F387</f>
        <v>15242.589999999998</v>
      </c>
      <c r="G382" s="117">
        <v>7900.9</v>
      </c>
      <c r="H382" s="120"/>
      <c r="I382" s="107">
        <v>8026.9</v>
      </c>
      <c r="J382" s="107">
        <v>8026.9</v>
      </c>
      <c r="K382" s="129" t="s">
        <v>523</v>
      </c>
    </row>
    <row r="383" spans="1:11" s="47" customFormat="1" ht="15" customHeight="1">
      <c r="A383" s="161" t="s">
        <v>489</v>
      </c>
      <c r="B383" s="7" t="s">
        <v>538</v>
      </c>
      <c r="C383" s="7" t="s">
        <v>11</v>
      </c>
      <c r="D383" s="13"/>
      <c r="E383" s="13">
        <f t="shared" si="148"/>
        <v>11028.96</v>
      </c>
      <c r="F383" s="13">
        <v>11028.96</v>
      </c>
      <c r="G383" s="21">
        <f>G388</f>
        <v>37920</v>
      </c>
      <c r="H383" s="121"/>
      <c r="I383" s="104">
        <f t="shared" ref="I383:J388" si="149">I384</f>
        <v>0</v>
      </c>
      <c r="J383" s="104">
        <f t="shared" si="149"/>
        <v>39585.4</v>
      </c>
      <c r="K383" s="129"/>
    </row>
    <row r="384" spans="1:11" ht="28.5" customHeight="1">
      <c r="A384" s="32" t="s">
        <v>15</v>
      </c>
      <c r="B384" s="7" t="s">
        <v>538</v>
      </c>
      <c r="C384" s="7" t="s">
        <v>16</v>
      </c>
      <c r="D384" s="13"/>
      <c r="E384" s="13">
        <f t="shared" si="148"/>
        <v>128.80000000000001</v>
      </c>
      <c r="F384" s="13">
        <v>128.80000000000001</v>
      </c>
      <c r="G384" s="17">
        <f t="shared" ref="G384:G385" si="150">G385</f>
        <v>37920</v>
      </c>
      <c r="H384" s="120"/>
      <c r="I384" s="104">
        <f t="shared" si="149"/>
        <v>0</v>
      </c>
      <c r="J384" s="104">
        <f t="shared" si="149"/>
        <v>39585.4</v>
      </c>
      <c r="K384" s="129"/>
    </row>
    <row r="385" spans="1:20" ht="25.5" customHeight="1">
      <c r="A385" s="28" t="s">
        <v>12</v>
      </c>
      <c r="B385" s="7" t="s">
        <v>538</v>
      </c>
      <c r="C385" s="7" t="s">
        <v>13</v>
      </c>
      <c r="D385" s="13"/>
      <c r="E385" s="13">
        <f t="shared" si="148"/>
        <v>3330.75</v>
      </c>
      <c r="F385" s="13">
        <v>3330.75</v>
      </c>
      <c r="G385" s="17">
        <f t="shared" si="150"/>
        <v>37920</v>
      </c>
      <c r="H385" s="120"/>
      <c r="I385" s="104">
        <f t="shared" si="149"/>
        <v>0</v>
      </c>
      <c r="J385" s="104">
        <f t="shared" si="149"/>
        <v>39585.4</v>
      </c>
      <c r="K385" s="129"/>
    </row>
    <row r="386" spans="1:20" ht="25.5" customHeight="1">
      <c r="A386" s="28" t="s">
        <v>19</v>
      </c>
      <c r="B386" s="7" t="s">
        <v>538</v>
      </c>
      <c r="C386" s="7" t="s">
        <v>20</v>
      </c>
      <c r="D386" s="13"/>
      <c r="E386" s="13">
        <f t="shared" si="148"/>
        <v>753.75999999999988</v>
      </c>
      <c r="F386" s="13">
        <f>15242.59-14488.51-0.32</f>
        <v>753.75999999999988</v>
      </c>
      <c r="G386" s="17">
        <f>G388</f>
        <v>37920</v>
      </c>
      <c r="H386" s="120"/>
      <c r="I386" s="104">
        <f t="shared" si="149"/>
        <v>0</v>
      </c>
      <c r="J386" s="104">
        <f t="shared" si="149"/>
        <v>39585.4</v>
      </c>
      <c r="K386" s="129"/>
    </row>
    <row r="387" spans="1:20" ht="18" customHeight="1">
      <c r="A387" s="28" t="s">
        <v>32</v>
      </c>
      <c r="B387" s="7" t="s">
        <v>538</v>
      </c>
      <c r="C387" s="7" t="s">
        <v>33</v>
      </c>
      <c r="D387" s="13"/>
      <c r="E387" s="13">
        <f t="shared" si="148"/>
        <v>0.32</v>
      </c>
      <c r="F387" s="13">
        <v>0.32</v>
      </c>
      <c r="G387" s="17"/>
      <c r="H387" s="120"/>
      <c r="I387" s="104">
        <f t="shared" si="149"/>
        <v>0</v>
      </c>
      <c r="J387" s="104">
        <f t="shared" si="149"/>
        <v>39585.4</v>
      </c>
      <c r="K387" s="129"/>
    </row>
    <row r="388" spans="1:20" ht="25.5" customHeight="1">
      <c r="A388" s="28" t="s">
        <v>35</v>
      </c>
      <c r="B388" s="7" t="s">
        <v>350</v>
      </c>
      <c r="C388" s="7"/>
      <c r="D388" s="13">
        <f>SUM(D389:D390)</f>
        <v>13929.710000000001</v>
      </c>
      <c r="E388" s="13">
        <f t="shared" si="148"/>
        <v>-13929.710000000001</v>
      </c>
      <c r="F388" s="13">
        <v>0</v>
      </c>
      <c r="G388" s="13">
        <f>G389</f>
        <v>37920</v>
      </c>
      <c r="H388" s="120"/>
      <c r="I388" s="104">
        <f t="shared" si="149"/>
        <v>0</v>
      </c>
      <c r="J388" s="104">
        <f t="shared" si="149"/>
        <v>39585.4</v>
      </c>
      <c r="K388" s="129"/>
    </row>
    <row r="389" spans="1:20" ht="15" customHeight="1">
      <c r="A389" s="28" t="s">
        <v>10</v>
      </c>
      <c r="B389" s="7" t="s">
        <v>350</v>
      </c>
      <c r="C389" s="15" t="s">
        <v>11</v>
      </c>
      <c r="D389" s="13">
        <v>10887.28</v>
      </c>
      <c r="E389" s="13">
        <f t="shared" si="148"/>
        <v>-10887.28</v>
      </c>
      <c r="F389" s="13">
        <v>0</v>
      </c>
      <c r="G389" s="117">
        <v>37920</v>
      </c>
      <c r="H389" s="120"/>
      <c r="I389" s="100"/>
      <c r="J389" s="100">
        <f t="shared" ref="J389" si="151">40985.4-1400</f>
        <v>39585.4</v>
      </c>
      <c r="K389" s="129"/>
    </row>
    <row r="390" spans="1:20" s="47" customFormat="1" ht="38.25" customHeight="1">
      <c r="A390" s="28" t="s">
        <v>12</v>
      </c>
      <c r="B390" s="7" t="s">
        <v>350</v>
      </c>
      <c r="C390" s="15" t="s">
        <v>13</v>
      </c>
      <c r="D390" s="13">
        <v>3042.43</v>
      </c>
      <c r="E390" s="13">
        <f t="shared" si="148"/>
        <v>-3042.43</v>
      </c>
      <c r="F390" s="13">
        <v>0</v>
      </c>
      <c r="G390" s="21">
        <f>G391+G491+G549</f>
        <v>53549.88</v>
      </c>
      <c r="H390" s="121"/>
      <c r="I390" s="118">
        <f t="shared" ref="I390:J390" si="152">I391+I491+I544+I549</f>
        <v>54742.9</v>
      </c>
      <c r="J390" s="118">
        <f t="shared" si="152"/>
        <v>57663.18</v>
      </c>
      <c r="K390" s="129"/>
      <c r="P390" s="155">
        <f>F397+F404+F405+F406+F407+F408+F409+F410+F412+F429+F430+F436+F437+F444+F445+F446+F447+F448+F462+F463+F464+F465+F466+F467+F468+F470+F486+F487+F497+F501+F503+F509+F516+F517+F518+F519+F520+F521+F523+F542+F543+F548+F556</f>
        <v>50701.56</v>
      </c>
      <c r="S390" s="155">
        <f t="shared" ref="S390:T390" si="153">I397+I404+I405+I406+I407+I408+I409+I410+I412+I429+I430+I436+I437+I444+I445+I446+I447+I448+I462+I463+I464+I465+I466+I467+I468+I470+I486+I487+I497+I501+I503+I509+I516+I517+I518+I519+I520+I521+I523+I542+I543+I548+I556</f>
        <v>54742.899999999994</v>
      </c>
      <c r="T390" s="155">
        <f t="shared" si="153"/>
        <v>57663.179999999986</v>
      </c>
    </row>
    <row r="391" spans="1:20" s="47" customFormat="1" ht="15" customHeight="1">
      <c r="A391" s="28" t="s">
        <v>263</v>
      </c>
      <c r="B391" s="7" t="s">
        <v>351</v>
      </c>
      <c r="C391" s="7"/>
      <c r="D391" s="13">
        <f>SUM(D392:D393)</f>
        <v>915</v>
      </c>
      <c r="E391" s="13">
        <f t="shared" si="148"/>
        <v>-915</v>
      </c>
      <c r="F391" s="13">
        <v>0</v>
      </c>
      <c r="G391" s="21">
        <f>G392+G398+G431+G438</f>
        <v>34336.699999999997</v>
      </c>
      <c r="H391" s="121"/>
      <c r="I391" s="118">
        <f t="shared" ref="I391:J391" si="154">I392+I398+I431+I438</f>
        <v>33129.75</v>
      </c>
      <c r="J391" s="118">
        <f t="shared" si="154"/>
        <v>34686.14</v>
      </c>
      <c r="K391" s="129"/>
    </row>
    <row r="392" spans="1:20" s="47" customFormat="1" ht="30.75" customHeight="1">
      <c r="A392" s="32" t="s">
        <v>15</v>
      </c>
      <c r="B392" s="7" t="s">
        <v>351</v>
      </c>
      <c r="C392" s="15" t="s">
        <v>16</v>
      </c>
      <c r="D392" s="13"/>
      <c r="E392" s="13">
        <f t="shared" si="148"/>
        <v>0</v>
      </c>
      <c r="F392" s="13">
        <v>0</v>
      </c>
      <c r="G392" s="21">
        <f>G395</f>
        <v>385.5</v>
      </c>
      <c r="H392" s="121"/>
      <c r="I392" s="113">
        <f t="shared" ref="I392:J396" si="155">I393</f>
        <v>253.6</v>
      </c>
      <c r="J392" s="113">
        <f t="shared" si="155"/>
        <v>253.6</v>
      </c>
      <c r="K392" s="129"/>
    </row>
    <row r="393" spans="1:20" s="47" customFormat="1" ht="33.75" customHeight="1">
      <c r="A393" s="28" t="s">
        <v>19</v>
      </c>
      <c r="B393" s="7" t="s">
        <v>351</v>
      </c>
      <c r="C393" s="15" t="s">
        <v>20</v>
      </c>
      <c r="D393" s="13">
        <f>500+316.4+55+43.6</f>
        <v>915</v>
      </c>
      <c r="E393" s="13">
        <f t="shared" si="148"/>
        <v>-915</v>
      </c>
      <c r="F393" s="13">
        <v>0</v>
      </c>
      <c r="G393" s="17">
        <f>G394</f>
        <v>385.5</v>
      </c>
      <c r="H393" s="121"/>
      <c r="I393" s="108">
        <f t="shared" si="155"/>
        <v>253.6</v>
      </c>
      <c r="J393" s="108">
        <f t="shared" si="155"/>
        <v>253.6</v>
      </c>
      <c r="K393" s="129"/>
    </row>
    <row r="394" spans="1:20" s="47" customFormat="1" ht="15" customHeight="1">
      <c r="A394" s="28" t="s">
        <v>216</v>
      </c>
      <c r="B394" s="16" t="s">
        <v>364</v>
      </c>
      <c r="C394" s="15"/>
      <c r="D394" s="17">
        <f>SUBTOTAL(9,D395:D398)</f>
        <v>1433.6000000000001</v>
      </c>
      <c r="E394" s="13">
        <f t="shared" si="148"/>
        <v>323.79999999999995</v>
      </c>
      <c r="F394" s="17">
        <f>SUM(F395:F398)</f>
        <v>1757.4</v>
      </c>
      <c r="G394" s="17">
        <f>G395</f>
        <v>385.5</v>
      </c>
      <c r="H394" s="121"/>
      <c r="I394" s="108">
        <f t="shared" si="155"/>
        <v>253.6</v>
      </c>
      <c r="J394" s="108">
        <f t="shared" si="155"/>
        <v>253.6</v>
      </c>
      <c r="K394" s="129"/>
    </row>
    <row r="395" spans="1:20" ht="25.5" customHeight="1">
      <c r="A395" s="28" t="s">
        <v>104</v>
      </c>
      <c r="B395" s="16" t="s">
        <v>364</v>
      </c>
      <c r="C395" s="4" t="s">
        <v>42</v>
      </c>
      <c r="D395" s="17">
        <v>1082</v>
      </c>
      <c r="E395" s="13">
        <f t="shared" si="148"/>
        <v>46.309999999999945</v>
      </c>
      <c r="F395" s="17">
        <v>1128.31</v>
      </c>
      <c r="G395" s="17">
        <f t="shared" ref="G395" si="156">G396</f>
        <v>385.5</v>
      </c>
      <c r="H395" s="120"/>
      <c r="I395" s="108">
        <f t="shared" si="155"/>
        <v>253.6</v>
      </c>
      <c r="J395" s="108">
        <f t="shared" si="155"/>
        <v>253.6</v>
      </c>
      <c r="K395" s="129"/>
    </row>
    <row r="396" spans="1:20" ht="39" customHeight="1">
      <c r="A396" s="28" t="s">
        <v>46</v>
      </c>
      <c r="B396" s="16" t="s">
        <v>364</v>
      </c>
      <c r="C396" s="15" t="s">
        <v>47</v>
      </c>
      <c r="D396" s="17">
        <v>3</v>
      </c>
      <c r="E396" s="13">
        <f t="shared" si="148"/>
        <v>19</v>
      </c>
      <c r="F396" s="17">
        <v>22</v>
      </c>
      <c r="G396" s="17">
        <f>G397</f>
        <v>385.5</v>
      </c>
      <c r="H396" s="120"/>
      <c r="I396" s="108">
        <f t="shared" si="155"/>
        <v>253.6</v>
      </c>
      <c r="J396" s="108">
        <f t="shared" si="155"/>
        <v>253.6</v>
      </c>
      <c r="K396" s="129"/>
    </row>
    <row r="397" spans="1:20" ht="25.5" customHeight="1">
      <c r="A397" s="28" t="s">
        <v>43</v>
      </c>
      <c r="B397" s="16" t="s">
        <v>364</v>
      </c>
      <c r="C397" s="15" t="s">
        <v>44</v>
      </c>
      <c r="D397" s="17">
        <v>326.89999999999998</v>
      </c>
      <c r="E397" s="13">
        <f t="shared" si="148"/>
        <v>13.850000000000023</v>
      </c>
      <c r="F397" s="17">
        <v>340.75</v>
      </c>
      <c r="G397" s="117">
        <v>385.5</v>
      </c>
      <c r="H397" s="120"/>
      <c r="I397" s="107">
        <v>253.6</v>
      </c>
      <c r="J397" s="107">
        <v>253.6</v>
      </c>
      <c r="K397" s="129" t="s">
        <v>523</v>
      </c>
    </row>
    <row r="398" spans="1:20" s="47" customFormat="1" ht="15" customHeight="1">
      <c r="A398" s="28" t="s">
        <v>19</v>
      </c>
      <c r="B398" s="16" t="s">
        <v>364</v>
      </c>
      <c r="C398" s="15" t="s">
        <v>20</v>
      </c>
      <c r="D398" s="17">
        <f>110.7-89</f>
        <v>21.700000000000003</v>
      </c>
      <c r="E398" s="13">
        <f t="shared" si="148"/>
        <v>244.64000000000016</v>
      </c>
      <c r="F398" s="17">
        <f>1757.4-1128.31-22-340.75</f>
        <v>266.34000000000015</v>
      </c>
      <c r="G398" s="21">
        <f>G399+G425</f>
        <v>12367.98</v>
      </c>
      <c r="H398" s="121"/>
      <c r="I398" s="113">
        <f t="shared" ref="I398:J398" si="157">I399+I425</f>
        <v>13254.640000000001</v>
      </c>
      <c r="J398" s="113">
        <f t="shared" si="157"/>
        <v>13816.900000000001</v>
      </c>
      <c r="K398" s="129"/>
    </row>
    <row r="399" spans="1:20" s="47" customFormat="1" ht="32.25" customHeight="1">
      <c r="A399" s="28" t="s">
        <v>466</v>
      </c>
      <c r="B399" s="7" t="s">
        <v>465</v>
      </c>
      <c r="C399" s="15"/>
      <c r="D399" s="13">
        <f>D400</f>
        <v>0.4</v>
      </c>
      <c r="E399" s="13">
        <f t="shared" si="148"/>
        <v>-0.4</v>
      </c>
      <c r="F399" s="17">
        <v>0</v>
      </c>
      <c r="G399" s="17">
        <f t="shared" ref="G399:G401" si="158">G400</f>
        <v>12367.98</v>
      </c>
      <c r="H399" s="121"/>
      <c r="I399" s="108">
        <f t="shared" ref="I399:J401" si="159">I400</f>
        <v>13254.640000000001</v>
      </c>
      <c r="J399" s="108">
        <f t="shared" si="159"/>
        <v>13816.900000000001</v>
      </c>
      <c r="K399" s="129"/>
    </row>
    <row r="400" spans="1:20" s="47" customFormat="1" ht="15" customHeight="1">
      <c r="A400" s="28" t="s">
        <v>19</v>
      </c>
      <c r="B400" s="7" t="s">
        <v>465</v>
      </c>
      <c r="C400" s="15" t="s">
        <v>20</v>
      </c>
      <c r="D400" s="13">
        <f>0.4</f>
        <v>0.4</v>
      </c>
      <c r="E400" s="13">
        <f t="shared" si="148"/>
        <v>-0.4</v>
      </c>
      <c r="F400" s="17">
        <v>0</v>
      </c>
      <c r="G400" s="17">
        <f t="shared" si="158"/>
        <v>12367.98</v>
      </c>
      <c r="H400" s="121"/>
      <c r="I400" s="108">
        <f t="shared" si="159"/>
        <v>13254.640000000001</v>
      </c>
      <c r="J400" s="108">
        <f t="shared" si="159"/>
        <v>13816.900000000001</v>
      </c>
      <c r="K400" s="129"/>
    </row>
    <row r="401" spans="1:11" ht="38.25" customHeight="1">
      <c r="A401" s="28" t="s">
        <v>400</v>
      </c>
      <c r="B401" s="7" t="s">
        <v>401</v>
      </c>
      <c r="C401" s="15"/>
      <c r="D401" s="13">
        <f>D402</f>
        <v>13.13</v>
      </c>
      <c r="E401" s="13">
        <f t="shared" si="148"/>
        <v>-13.13</v>
      </c>
      <c r="F401" s="17">
        <v>0</v>
      </c>
      <c r="G401" s="17">
        <f t="shared" si="158"/>
        <v>12367.98</v>
      </c>
      <c r="H401" s="120"/>
      <c r="I401" s="108">
        <f t="shared" si="159"/>
        <v>13254.640000000001</v>
      </c>
      <c r="J401" s="108">
        <f t="shared" si="159"/>
        <v>13816.900000000001</v>
      </c>
      <c r="K401" s="129"/>
    </row>
    <row r="402" spans="1:11" ht="29.25" customHeight="1">
      <c r="A402" s="28" t="s">
        <v>19</v>
      </c>
      <c r="B402" s="7" t="s">
        <v>401</v>
      </c>
      <c r="C402" s="15" t="s">
        <v>20</v>
      </c>
      <c r="D402" s="13">
        <f>13+0.13</f>
        <v>13.13</v>
      </c>
      <c r="E402" s="13">
        <f t="shared" si="148"/>
        <v>-13.13</v>
      </c>
      <c r="F402" s="17">
        <v>0</v>
      </c>
      <c r="G402" s="17">
        <f>G413+G416+G423</f>
        <v>12367.98</v>
      </c>
      <c r="H402" s="120"/>
      <c r="I402" s="108">
        <f t="shared" ref="I402:J402" si="160">I403+I411</f>
        <v>13254.640000000001</v>
      </c>
      <c r="J402" s="108">
        <f t="shared" si="160"/>
        <v>13816.900000000001</v>
      </c>
      <c r="K402" s="129"/>
    </row>
    <row r="403" spans="1:11" ht="31.5" customHeight="1">
      <c r="A403" s="30" t="s">
        <v>36</v>
      </c>
      <c r="B403" s="7" t="s">
        <v>378</v>
      </c>
      <c r="C403" s="7"/>
      <c r="D403" s="13">
        <f>D404</f>
        <v>3084.38</v>
      </c>
      <c r="E403" s="13">
        <f t="shared" si="148"/>
        <v>212</v>
      </c>
      <c r="F403" s="13">
        <f>F404</f>
        <v>3296.38</v>
      </c>
      <c r="G403" s="17"/>
      <c r="H403" s="120"/>
      <c r="I403" s="108">
        <f t="shared" ref="I403:J403" si="161">SUM(I404:I410)</f>
        <v>12416.140000000001</v>
      </c>
      <c r="J403" s="108">
        <f t="shared" si="161"/>
        <v>12978.400000000001</v>
      </c>
      <c r="K403" s="129"/>
    </row>
    <row r="404" spans="1:11" ht="15" customHeight="1">
      <c r="A404" s="28" t="s">
        <v>37</v>
      </c>
      <c r="B404" s="7" t="s">
        <v>379</v>
      </c>
      <c r="C404" s="7"/>
      <c r="D404" s="13">
        <f>D411+D414</f>
        <v>3084.38</v>
      </c>
      <c r="E404" s="13">
        <f t="shared" si="148"/>
        <v>212</v>
      </c>
      <c r="F404" s="13">
        <f>F405</f>
        <v>3296.38</v>
      </c>
      <c r="G404" s="17"/>
      <c r="H404" s="120"/>
      <c r="I404" s="107">
        <f t="shared" ref="I404:J404" si="162">15934.15-6866.29</f>
        <v>9067.86</v>
      </c>
      <c r="J404" s="107">
        <f t="shared" si="162"/>
        <v>9067.86</v>
      </c>
      <c r="K404" s="129"/>
    </row>
    <row r="405" spans="1:11" ht="28.5" customHeight="1">
      <c r="A405" s="30" t="s">
        <v>572</v>
      </c>
      <c r="B405" s="7" t="s">
        <v>571</v>
      </c>
      <c r="C405" s="7"/>
      <c r="D405" s="13"/>
      <c r="E405" s="13">
        <f t="shared" si="148"/>
        <v>3296.38</v>
      </c>
      <c r="F405" s="13">
        <f>SUM(F406:F410)</f>
        <v>3296.38</v>
      </c>
      <c r="G405" s="17"/>
      <c r="H405" s="120"/>
      <c r="I405" s="107">
        <v>250.76</v>
      </c>
      <c r="J405" s="107">
        <v>250.76</v>
      </c>
      <c r="K405" s="129"/>
    </row>
    <row r="406" spans="1:11" ht="19.5" customHeight="1">
      <c r="A406" s="28" t="s">
        <v>10</v>
      </c>
      <c r="B406" s="7" t="s">
        <v>571</v>
      </c>
      <c r="C406" s="15" t="s">
        <v>11</v>
      </c>
      <c r="D406" s="13"/>
      <c r="E406" s="13">
        <f t="shared" si="148"/>
        <v>2417.7600000000002</v>
      </c>
      <c r="F406" s="13">
        <v>2417.7600000000002</v>
      </c>
      <c r="G406" s="17"/>
      <c r="H406" s="120"/>
      <c r="I406" s="107">
        <f t="shared" ref="I406:J406" si="163">4812.11-2073.62</f>
        <v>2738.49</v>
      </c>
      <c r="J406" s="107">
        <f t="shared" si="163"/>
        <v>2738.49</v>
      </c>
      <c r="K406" s="129"/>
    </row>
    <row r="407" spans="1:11" ht="28.5" customHeight="1">
      <c r="A407" s="32" t="s">
        <v>15</v>
      </c>
      <c r="B407" s="7" t="s">
        <v>571</v>
      </c>
      <c r="C407" s="15" t="s">
        <v>16</v>
      </c>
      <c r="D407" s="13"/>
      <c r="E407" s="13">
        <f t="shared" si="148"/>
        <v>67</v>
      </c>
      <c r="F407" s="13">
        <v>67</v>
      </c>
      <c r="G407" s="17"/>
      <c r="H407" s="120"/>
      <c r="I407" s="107"/>
      <c r="J407" s="107">
        <f t="shared" ref="J407" si="164">22756.81-9067.86-250.76-2738.49-6866.29-2073.62-359.03-838.5</f>
        <v>562.2600000000009</v>
      </c>
      <c r="K407" s="129"/>
    </row>
    <row r="408" spans="1:11" ht="43.5" customHeight="1">
      <c r="A408" s="28" t="s">
        <v>12</v>
      </c>
      <c r="B408" s="7" t="s">
        <v>571</v>
      </c>
      <c r="C408" s="15" t="s">
        <v>13</v>
      </c>
      <c r="D408" s="13"/>
      <c r="E408" s="13">
        <f t="shared" si="148"/>
        <v>730.16</v>
      </c>
      <c r="F408" s="13">
        <v>730.16</v>
      </c>
      <c r="G408" s="17"/>
      <c r="H408" s="120"/>
      <c r="I408" s="107"/>
      <c r="J408" s="107"/>
      <c r="K408" s="129"/>
    </row>
    <row r="409" spans="1:11" ht="28.5" customHeight="1">
      <c r="A409" s="28" t="s">
        <v>19</v>
      </c>
      <c r="B409" s="7" t="s">
        <v>571</v>
      </c>
      <c r="C409" s="15" t="s">
        <v>20</v>
      </c>
      <c r="D409" s="13"/>
      <c r="E409" s="13">
        <f t="shared" si="148"/>
        <v>81.13999999999993</v>
      </c>
      <c r="F409" s="13">
        <f>3296.38-2417.76-67-730.16-0.32</f>
        <v>81.13999999999993</v>
      </c>
      <c r="G409" s="17"/>
      <c r="H409" s="120"/>
      <c r="I409" s="107"/>
      <c r="J409" s="107"/>
      <c r="K409" s="129"/>
    </row>
    <row r="410" spans="1:11" ht="15" customHeight="1">
      <c r="A410" s="28" t="s">
        <v>32</v>
      </c>
      <c r="B410" s="7" t="s">
        <v>571</v>
      </c>
      <c r="C410" s="7" t="s">
        <v>33</v>
      </c>
      <c r="D410" s="13"/>
      <c r="E410" s="13">
        <f t="shared" si="148"/>
        <v>0.32</v>
      </c>
      <c r="F410" s="13">
        <v>0.32</v>
      </c>
      <c r="G410" s="17"/>
      <c r="H410" s="120"/>
      <c r="I410" s="107">
        <v>359.03</v>
      </c>
      <c r="J410" s="107">
        <v>359.03</v>
      </c>
      <c r="K410" s="129"/>
    </row>
    <row r="411" spans="1:11" ht="27.75" customHeight="1">
      <c r="A411" s="28" t="s">
        <v>397</v>
      </c>
      <c r="B411" s="7" t="s">
        <v>380</v>
      </c>
      <c r="C411" s="7"/>
      <c r="D411" s="13">
        <f>SUM(D412:D413)</f>
        <v>3033.8</v>
      </c>
      <c r="E411" s="13">
        <f t="shared" si="148"/>
        <v>-3033.8</v>
      </c>
      <c r="F411" s="17">
        <v>0</v>
      </c>
      <c r="G411" s="17"/>
      <c r="H411" s="120"/>
      <c r="I411" s="108">
        <f t="shared" ref="I411:J411" si="165">I412</f>
        <v>838.5</v>
      </c>
      <c r="J411" s="108">
        <f t="shared" si="165"/>
        <v>838.5</v>
      </c>
      <c r="K411" s="129"/>
    </row>
    <row r="412" spans="1:11" ht="30.75" customHeight="1">
      <c r="A412" s="28" t="s">
        <v>10</v>
      </c>
      <c r="B412" s="7" t="s">
        <v>380</v>
      </c>
      <c r="C412" s="15" t="s">
        <v>11</v>
      </c>
      <c r="D412" s="13">
        <f>2521.4-153.6</f>
        <v>2367.8000000000002</v>
      </c>
      <c r="E412" s="13">
        <f t="shared" si="148"/>
        <v>-2367.8000000000002</v>
      </c>
      <c r="F412" s="17">
        <v>0</v>
      </c>
      <c r="G412" s="17"/>
      <c r="H412" s="120"/>
      <c r="I412" s="107">
        <v>838.5</v>
      </c>
      <c r="J412" s="107">
        <v>838.5</v>
      </c>
      <c r="K412" s="129"/>
    </row>
    <row r="413" spans="1:11" ht="25.5" customHeight="1">
      <c r="A413" s="28" t="s">
        <v>12</v>
      </c>
      <c r="B413" s="7" t="s">
        <v>380</v>
      </c>
      <c r="C413" s="15" t="s">
        <v>13</v>
      </c>
      <c r="D413" s="13">
        <f>712.4-46.4</f>
        <v>666</v>
      </c>
      <c r="E413" s="13">
        <f t="shared" si="148"/>
        <v>-666</v>
      </c>
      <c r="F413" s="17">
        <v>0</v>
      </c>
      <c r="G413" s="115">
        <f>SUBTOTAL(9,G414:G415)</f>
        <v>6498.9999999999991</v>
      </c>
      <c r="H413" s="144"/>
      <c r="I413" s="145"/>
      <c r="J413" s="145"/>
      <c r="K413" s="129"/>
    </row>
    <row r="414" spans="1:11" ht="33" customHeight="1">
      <c r="A414" s="28" t="s">
        <v>37</v>
      </c>
      <c r="B414" s="7" t="s">
        <v>381</v>
      </c>
      <c r="C414" s="7"/>
      <c r="D414" s="13">
        <f>SUM(D415:D417)</f>
        <v>50.58</v>
      </c>
      <c r="E414" s="13">
        <f t="shared" si="148"/>
        <v>-50.58</v>
      </c>
      <c r="F414" s="17">
        <v>0</v>
      </c>
      <c r="G414" s="115">
        <f>15567.9-4078.3-6912.5+565.3</f>
        <v>5142.3999999999987</v>
      </c>
      <c r="H414" s="144"/>
      <c r="I414" s="145"/>
      <c r="J414" s="145"/>
      <c r="K414" s="129"/>
    </row>
    <row r="415" spans="1:11" ht="38.25" customHeight="1">
      <c r="A415" s="32" t="s">
        <v>15</v>
      </c>
      <c r="B415" s="7" t="s">
        <v>381</v>
      </c>
      <c r="C415" s="15" t="s">
        <v>16</v>
      </c>
      <c r="D415" s="13"/>
      <c r="E415" s="13">
        <f t="shared" si="148"/>
        <v>0</v>
      </c>
      <c r="F415" s="17">
        <v>0</v>
      </c>
      <c r="G415" s="115">
        <f>4505.1-1231.7-2087.5+170.7</f>
        <v>1356.6000000000006</v>
      </c>
      <c r="H415" s="144"/>
      <c r="I415" s="145"/>
      <c r="J415" s="145"/>
      <c r="K415" s="129"/>
    </row>
    <row r="416" spans="1:11" ht="25.5" customHeight="1">
      <c r="A416" s="28" t="s">
        <v>19</v>
      </c>
      <c r="B416" s="7" t="s">
        <v>381</v>
      </c>
      <c r="C416" s="15" t="s">
        <v>20</v>
      </c>
      <c r="D416" s="13">
        <f>39.48+5.1+6</f>
        <v>50.58</v>
      </c>
      <c r="E416" s="13">
        <f t="shared" si="148"/>
        <v>-50.58</v>
      </c>
      <c r="F416" s="17">
        <v>0</v>
      </c>
      <c r="G416" s="115">
        <f>SUBTOTAL(9,G417:G422)</f>
        <v>5029.4799999999996</v>
      </c>
      <c r="H416" s="144"/>
      <c r="I416" s="145"/>
      <c r="J416" s="145"/>
      <c r="K416" s="129"/>
    </row>
    <row r="417" spans="1:11" ht="18.75" customHeight="1">
      <c r="A417" s="28" t="s">
        <v>21</v>
      </c>
      <c r="B417" s="7" t="s">
        <v>381</v>
      </c>
      <c r="C417" s="15" t="s">
        <v>22</v>
      </c>
      <c r="D417" s="13"/>
      <c r="E417" s="13">
        <f t="shared" si="148"/>
        <v>0</v>
      </c>
      <c r="F417" s="17">
        <v>0</v>
      </c>
      <c r="G417" s="115"/>
      <c r="H417" s="144"/>
      <c r="I417" s="145"/>
      <c r="J417" s="145"/>
      <c r="K417" s="129"/>
    </row>
    <row r="418" spans="1:11" ht="25.5" customHeight="1">
      <c r="A418" s="30" t="s">
        <v>423</v>
      </c>
      <c r="B418" s="16" t="s">
        <v>424</v>
      </c>
      <c r="C418" s="4"/>
      <c r="D418" s="17">
        <f>D422</f>
        <v>29738.100000000002</v>
      </c>
      <c r="E418" s="13">
        <f t="shared" si="148"/>
        <v>-2.0000000000436557E-2</v>
      </c>
      <c r="F418" s="17">
        <f>F419</f>
        <v>29738.080000000002</v>
      </c>
      <c r="G418" s="115">
        <f>32.62+255.6+112.5+475+3560.36</f>
        <v>4436.08</v>
      </c>
      <c r="H418" s="144"/>
      <c r="I418" s="145"/>
      <c r="J418" s="145"/>
      <c r="K418" s="129"/>
    </row>
    <row r="419" spans="1:11" ht="20.25" customHeight="1">
      <c r="A419" s="33" t="s">
        <v>426</v>
      </c>
      <c r="B419" s="16" t="s">
        <v>521</v>
      </c>
      <c r="C419" s="4"/>
      <c r="D419" s="17"/>
      <c r="E419" s="13">
        <f t="shared" si="148"/>
        <v>29738.080000000002</v>
      </c>
      <c r="F419" s="17">
        <f>F420</f>
        <v>29738.080000000002</v>
      </c>
      <c r="G419" s="115">
        <v>176.4</v>
      </c>
      <c r="H419" s="144"/>
      <c r="I419" s="145"/>
      <c r="J419" s="145"/>
      <c r="K419" s="129"/>
    </row>
    <row r="420" spans="1:11" ht="25.5" customHeight="1">
      <c r="A420" s="28" t="s">
        <v>425</v>
      </c>
      <c r="B420" s="16" t="s">
        <v>522</v>
      </c>
      <c r="C420" s="4"/>
      <c r="D420" s="17"/>
      <c r="E420" s="13">
        <f t="shared" si="148"/>
        <v>29738.080000000002</v>
      </c>
      <c r="F420" s="17">
        <f>F421</f>
        <v>29738.080000000002</v>
      </c>
      <c r="G420" s="115">
        <f>288.5</f>
        <v>288.5</v>
      </c>
      <c r="H420" s="144"/>
      <c r="I420" s="145"/>
      <c r="J420" s="145"/>
      <c r="K420" s="129"/>
    </row>
    <row r="421" spans="1:11" ht="45" customHeight="1">
      <c r="A421" s="28" t="s">
        <v>180</v>
      </c>
      <c r="B421" s="16" t="s">
        <v>522</v>
      </c>
      <c r="C421" s="4" t="s">
        <v>181</v>
      </c>
      <c r="D421" s="17"/>
      <c r="E421" s="13">
        <f t="shared" si="148"/>
        <v>29738.080000000002</v>
      </c>
      <c r="F421" s="17">
        <f>29440.7+297.38</f>
        <v>29738.080000000002</v>
      </c>
      <c r="G421" s="115">
        <v>80.7</v>
      </c>
      <c r="H421" s="144"/>
      <c r="I421" s="145"/>
      <c r="J421" s="145"/>
      <c r="K421" s="129"/>
    </row>
    <row r="422" spans="1:11" ht="15" customHeight="1">
      <c r="A422" s="33" t="s">
        <v>426</v>
      </c>
      <c r="B422" s="16" t="s">
        <v>427</v>
      </c>
      <c r="C422" s="4"/>
      <c r="D422" s="17">
        <f>D423</f>
        <v>29738.100000000002</v>
      </c>
      <c r="E422" s="13">
        <f t="shared" si="148"/>
        <v>-29738.100000000002</v>
      </c>
      <c r="F422" s="17">
        <v>0</v>
      </c>
      <c r="G422" s="115">
        <f>47.8</f>
        <v>47.8</v>
      </c>
      <c r="H422" s="144"/>
      <c r="I422" s="145"/>
      <c r="J422" s="145"/>
      <c r="K422" s="129"/>
    </row>
    <row r="423" spans="1:11" ht="45.75" customHeight="1">
      <c r="A423" s="28" t="s">
        <v>425</v>
      </c>
      <c r="B423" s="16" t="s">
        <v>422</v>
      </c>
      <c r="C423" s="4"/>
      <c r="D423" s="17">
        <f>D424</f>
        <v>29738.100000000002</v>
      </c>
      <c r="E423" s="13">
        <f t="shared" si="148"/>
        <v>-29738.100000000002</v>
      </c>
      <c r="F423" s="17">
        <v>0</v>
      </c>
      <c r="G423" s="115">
        <f>G424</f>
        <v>839.5</v>
      </c>
      <c r="H423" s="144"/>
      <c r="I423" s="145"/>
      <c r="J423" s="145"/>
      <c r="K423" s="129"/>
    </row>
    <row r="424" spans="1:11" ht="25.5" customHeight="1">
      <c r="A424" s="28" t="s">
        <v>180</v>
      </c>
      <c r="B424" s="16" t="s">
        <v>422</v>
      </c>
      <c r="C424" s="4" t="s">
        <v>181</v>
      </c>
      <c r="D424" s="17">
        <f>29440.7+297.4</f>
        <v>29738.100000000002</v>
      </c>
      <c r="E424" s="13">
        <f t="shared" si="148"/>
        <v>-29738.100000000002</v>
      </c>
      <c r="F424" s="17">
        <v>0</v>
      </c>
      <c r="G424" s="115">
        <f>814+25.5</f>
        <v>839.5</v>
      </c>
      <c r="H424" s="144"/>
      <c r="I424" s="145"/>
      <c r="J424" s="145"/>
      <c r="K424" s="129"/>
    </row>
    <row r="425" spans="1:11" ht="29.25" hidden="1" customHeight="1">
      <c r="A425" s="30" t="s">
        <v>296</v>
      </c>
      <c r="B425" s="20" t="s">
        <v>265</v>
      </c>
      <c r="C425" s="19"/>
      <c r="D425" s="17">
        <f>D426</f>
        <v>0</v>
      </c>
      <c r="E425" s="13">
        <f t="shared" si="148"/>
        <v>0</v>
      </c>
      <c r="F425" s="17">
        <f t="shared" ref="F425:F434" si="166">F426</f>
        <v>0</v>
      </c>
      <c r="G425" s="17">
        <f t="shared" ref="G425:G427" si="167">G426</f>
        <v>0</v>
      </c>
      <c r="H425" s="120"/>
      <c r="I425" s="108">
        <f t="shared" ref="I425:J427" si="168">I426</f>
        <v>0</v>
      </c>
      <c r="J425" s="108">
        <f t="shared" si="168"/>
        <v>0</v>
      </c>
      <c r="K425" s="129"/>
    </row>
    <row r="426" spans="1:11" ht="25.5" hidden="1" customHeight="1">
      <c r="A426" s="30" t="s">
        <v>296</v>
      </c>
      <c r="B426" s="20" t="s">
        <v>265</v>
      </c>
      <c r="C426" s="7"/>
      <c r="D426" s="17">
        <f>D427</f>
        <v>0</v>
      </c>
      <c r="E426" s="13">
        <f t="shared" si="148"/>
        <v>0</v>
      </c>
      <c r="F426" s="17">
        <f t="shared" si="166"/>
        <v>0</v>
      </c>
      <c r="G426" s="17">
        <f t="shared" si="167"/>
        <v>0</v>
      </c>
      <c r="H426" s="120"/>
      <c r="I426" s="108">
        <f t="shared" si="168"/>
        <v>0</v>
      </c>
      <c r="J426" s="108">
        <f t="shared" si="168"/>
        <v>0</v>
      </c>
      <c r="K426" s="129"/>
    </row>
    <row r="427" spans="1:11" ht="25.5" hidden="1" customHeight="1">
      <c r="A427" s="30" t="s">
        <v>296</v>
      </c>
      <c r="B427" s="20" t="s">
        <v>265</v>
      </c>
      <c r="C427" s="4"/>
      <c r="D427" s="17">
        <f>D428</f>
        <v>0</v>
      </c>
      <c r="E427" s="13">
        <f t="shared" si="148"/>
        <v>0</v>
      </c>
      <c r="F427" s="17">
        <f t="shared" si="166"/>
        <v>0</v>
      </c>
      <c r="G427" s="17">
        <f t="shared" si="167"/>
        <v>0</v>
      </c>
      <c r="H427" s="120"/>
      <c r="I427" s="108">
        <f t="shared" si="168"/>
        <v>0</v>
      </c>
      <c r="J427" s="108">
        <f t="shared" si="168"/>
        <v>0</v>
      </c>
      <c r="K427" s="129"/>
    </row>
    <row r="428" spans="1:11" ht="27.75" hidden="1" customHeight="1">
      <c r="A428" s="30" t="s">
        <v>296</v>
      </c>
      <c r="B428" s="20" t="s">
        <v>265</v>
      </c>
      <c r="C428" s="15"/>
      <c r="D428" s="17">
        <f>D429</f>
        <v>0</v>
      </c>
      <c r="E428" s="13">
        <f t="shared" si="148"/>
        <v>0</v>
      </c>
      <c r="F428" s="17">
        <f t="shared" si="166"/>
        <v>0</v>
      </c>
      <c r="G428" s="17">
        <f>G429+G430</f>
        <v>0</v>
      </c>
      <c r="H428" s="120"/>
      <c r="I428" s="108">
        <f t="shared" ref="I428:J428" si="169">I429+I430</f>
        <v>0</v>
      </c>
      <c r="J428" s="108">
        <f t="shared" si="169"/>
        <v>0</v>
      </c>
      <c r="K428" s="129"/>
    </row>
    <row r="429" spans="1:11" ht="24.75" hidden="1" customHeight="1">
      <c r="A429" s="30" t="s">
        <v>115</v>
      </c>
      <c r="B429" s="15" t="s">
        <v>355</v>
      </c>
      <c r="C429" s="7"/>
      <c r="D429" s="17">
        <f>D430</f>
        <v>0</v>
      </c>
      <c r="E429" s="13">
        <f t="shared" si="148"/>
        <v>0</v>
      </c>
      <c r="F429" s="17">
        <f t="shared" si="166"/>
        <v>0</v>
      </c>
      <c r="G429" s="117"/>
      <c r="H429" s="120"/>
      <c r="I429" s="107"/>
      <c r="J429" s="107"/>
      <c r="K429" s="129" t="s">
        <v>524</v>
      </c>
    </row>
    <row r="430" spans="1:11" ht="29.25" hidden="1" customHeight="1">
      <c r="A430" s="30" t="s">
        <v>115</v>
      </c>
      <c r="B430" s="15" t="s">
        <v>355</v>
      </c>
      <c r="C430" s="15"/>
      <c r="D430" s="17">
        <f>D434</f>
        <v>0</v>
      </c>
      <c r="E430" s="13">
        <f t="shared" si="148"/>
        <v>0</v>
      </c>
      <c r="F430" s="17">
        <f t="shared" si="166"/>
        <v>0</v>
      </c>
      <c r="G430" s="117"/>
      <c r="H430" s="120"/>
      <c r="I430" s="107"/>
      <c r="J430" s="107"/>
      <c r="K430" s="129" t="s">
        <v>524</v>
      </c>
    </row>
    <row r="431" spans="1:11" s="47" customFormat="1" ht="15" hidden="1" customHeight="1">
      <c r="A431" s="30" t="s">
        <v>115</v>
      </c>
      <c r="B431" s="15" t="s">
        <v>355</v>
      </c>
      <c r="C431" s="25"/>
      <c r="D431" s="24">
        <f>D432</f>
        <v>0</v>
      </c>
      <c r="E431" s="13">
        <f t="shared" si="148"/>
        <v>0</v>
      </c>
      <c r="F431" s="24">
        <f t="shared" si="166"/>
        <v>0</v>
      </c>
      <c r="G431" s="21">
        <f>G435</f>
        <v>10710.6</v>
      </c>
      <c r="H431" s="121"/>
      <c r="I431" s="113">
        <f t="shared" ref="I431:J434" si="170">I432</f>
        <v>9817.81</v>
      </c>
      <c r="J431" s="113">
        <f t="shared" si="170"/>
        <v>9904.83</v>
      </c>
      <c r="K431" s="129"/>
    </row>
    <row r="432" spans="1:11" s="47" customFormat="1" ht="18" hidden="1" customHeight="1">
      <c r="A432" s="28" t="s">
        <v>576</v>
      </c>
      <c r="B432" s="15" t="s">
        <v>512</v>
      </c>
      <c r="C432" s="15"/>
      <c r="D432" s="17"/>
      <c r="E432" s="13">
        <f t="shared" si="148"/>
        <v>0</v>
      </c>
      <c r="F432" s="17">
        <f t="shared" si="166"/>
        <v>0</v>
      </c>
      <c r="G432" s="17">
        <f t="shared" ref="G432:G434" si="171">G433</f>
        <v>10710.6</v>
      </c>
      <c r="H432" s="121"/>
      <c r="I432" s="108">
        <f t="shared" si="170"/>
        <v>9817.81</v>
      </c>
      <c r="J432" s="108">
        <f t="shared" si="170"/>
        <v>9904.83</v>
      </c>
      <c r="K432" s="129"/>
    </row>
    <row r="433" spans="1:11" s="47" customFormat="1" ht="15" hidden="1" customHeight="1">
      <c r="A433" s="28" t="s">
        <v>594</v>
      </c>
      <c r="B433" s="15" t="s">
        <v>512</v>
      </c>
      <c r="C433" s="15"/>
      <c r="D433" s="17">
        <f>D435</f>
        <v>0</v>
      </c>
      <c r="E433" s="13">
        <f t="shared" si="148"/>
        <v>0</v>
      </c>
      <c r="F433" s="17">
        <f t="shared" si="166"/>
        <v>0</v>
      </c>
      <c r="G433" s="17">
        <f t="shared" si="171"/>
        <v>10710.6</v>
      </c>
      <c r="H433" s="121"/>
      <c r="I433" s="108">
        <f t="shared" si="170"/>
        <v>9817.81</v>
      </c>
      <c r="J433" s="108">
        <f t="shared" si="170"/>
        <v>9904.83</v>
      </c>
      <c r="K433" s="129"/>
    </row>
    <row r="434" spans="1:11" s="47" customFormat="1" ht="20.25" hidden="1" customHeight="1">
      <c r="A434" s="28" t="s">
        <v>232</v>
      </c>
      <c r="B434" s="15" t="s">
        <v>596</v>
      </c>
      <c r="C434" s="15"/>
      <c r="D434" s="17"/>
      <c r="E434" s="13">
        <f t="shared" si="148"/>
        <v>0</v>
      </c>
      <c r="F434" s="17">
        <f t="shared" si="166"/>
        <v>0</v>
      </c>
      <c r="G434" s="17">
        <f t="shared" si="171"/>
        <v>10710.6</v>
      </c>
      <c r="H434" s="121"/>
      <c r="I434" s="108">
        <f t="shared" si="170"/>
        <v>9817.81</v>
      </c>
      <c r="J434" s="108">
        <f t="shared" si="170"/>
        <v>9904.83</v>
      </c>
      <c r="K434" s="129"/>
    </row>
    <row r="435" spans="1:11" ht="15" hidden="1" customHeight="1">
      <c r="A435" s="28" t="s">
        <v>233</v>
      </c>
      <c r="B435" s="15" t="s">
        <v>596</v>
      </c>
      <c r="C435" s="15" t="s">
        <v>234</v>
      </c>
      <c r="D435" s="17"/>
      <c r="E435" s="13">
        <f t="shared" si="148"/>
        <v>0</v>
      </c>
      <c r="F435" s="17">
        <v>0</v>
      </c>
      <c r="G435" s="17">
        <f>G436+G437</f>
        <v>10710.6</v>
      </c>
      <c r="H435" s="120"/>
      <c r="I435" s="108">
        <f t="shared" ref="I435:J435" si="172">I436+I437</f>
        <v>9817.81</v>
      </c>
      <c r="J435" s="108">
        <f t="shared" si="172"/>
        <v>9904.83</v>
      </c>
      <c r="K435" s="129"/>
    </row>
    <row r="436" spans="1:11" ht="25.5" customHeight="1">
      <c r="A436" s="28" t="s">
        <v>239</v>
      </c>
      <c r="B436" s="15" t="s">
        <v>595</v>
      </c>
      <c r="C436" s="15"/>
      <c r="D436" s="17"/>
      <c r="E436" s="13">
        <f t="shared" si="148"/>
        <v>0</v>
      </c>
      <c r="F436" s="17">
        <f>F437</f>
        <v>0</v>
      </c>
      <c r="G436" s="117">
        <f>4015+492.5</f>
        <v>4507.5</v>
      </c>
      <c r="H436" s="120"/>
      <c r="I436" s="107">
        <v>9817.81</v>
      </c>
      <c r="J436" s="107">
        <v>9904.83</v>
      </c>
      <c r="K436" s="132" t="s">
        <v>536</v>
      </c>
    </row>
    <row r="437" spans="1:11" ht="25.5" customHeight="1">
      <c r="A437" s="28" t="s">
        <v>96</v>
      </c>
      <c r="B437" s="15" t="s">
        <v>595</v>
      </c>
      <c r="C437" s="15" t="s">
        <v>97</v>
      </c>
      <c r="D437" s="17">
        <v>500</v>
      </c>
      <c r="E437" s="13">
        <f t="shared" si="148"/>
        <v>-500</v>
      </c>
      <c r="F437" s="17">
        <v>0</v>
      </c>
      <c r="G437" s="117">
        <f>6055.1+148</f>
        <v>6203.1</v>
      </c>
      <c r="H437" s="120"/>
      <c r="I437" s="128"/>
      <c r="J437" s="128"/>
      <c r="K437" s="129"/>
    </row>
    <row r="438" spans="1:11" s="47" customFormat="1" ht="15" customHeight="1">
      <c r="A438" s="28" t="s">
        <v>232</v>
      </c>
      <c r="B438" s="15" t="s">
        <v>382</v>
      </c>
      <c r="C438" s="15"/>
      <c r="D438" s="17">
        <f>D439</f>
        <v>1672.3</v>
      </c>
      <c r="E438" s="13">
        <f t="shared" si="148"/>
        <v>-1672.3</v>
      </c>
      <c r="F438" s="17">
        <v>0</v>
      </c>
      <c r="G438" s="21">
        <f>G439+G482</f>
        <v>10872.619999999999</v>
      </c>
      <c r="H438" s="121"/>
      <c r="I438" s="113">
        <f t="shared" ref="I438:J438" si="173">I439+I482</f>
        <v>9803.7000000000007</v>
      </c>
      <c r="J438" s="113">
        <f t="shared" si="173"/>
        <v>10710.81</v>
      </c>
      <c r="K438" s="129"/>
    </row>
    <row r="439" spans="1:11" s="47" customFormat="1" ht="18" customHeight="1">
      <c r="A439" s="28" t="s">
        <v>233</v>
      </c>
      <c r="B439" s="15" t="s">
        <v>382</v>
      </c>
      <c r="C439" s="15" t="s">
        <v>234</v>
      </c>
      <c r="D439" s="17">
        <v>1672.3</v>
      </c>
      <c r="E439" s="13">
        <f t="shared" si="148"/>
        <v>-1672.3</v>
      </c>
      <c r="F439" s="17">
        <v>0</v>
      </c>
      <c r="G439" s="17">
        <f>G440+G458</f>
        <v>10872.619999999999</v>
      </c>
      <c r="H439" s="121"/>
      <c r="I439" s="108">
        <f t="shared" ref="I439:J439" si="174">I441+I458</f>
        <v>9803.7000000000007</v>
      </c>
      <c r="J439" s="108">
        <f t="shared" si="174"/>
        <v>10710.81</v>
      </c>
      <c r="K439" s="129"/>
    </row>
    <row r="440" spans="1:11" s="47" customFormat="1" ht="29.25" customHeight="1">
      <c r="A440" s="28" t="s">
        <v>116</v>
      </c>
      <c r="B440" s="15" t="s">
        <v>356</v>
      </c>
      <c r="C440" s="15"/>
      <c r="D440" s="17">
        <f>D441</f>
        <v>5299.7</v>
      </c>
      <c r="E440" s="13">
        <f t="shared" si="148"/>
        <v>151.40000000000055</v>
      </c>
      <c r="F440" s="17">
        <f>F441</f>
        <v>5451.1</v>
      </c>
      <c r="G440" s="115">
        <f>G449</f>
        <v>2337.02</v>
      </c>
      <c r="H440" s="153"/>
      <c r="I440" s="154"/>
      <c r="J440" s="154"/>
      <c r="K440" s="129"/>
    </row>
    <row r="441" spans="1:11" s="47" customFormat="1" ht="30.75" customHeight="1">
      <c r="A441" s="28" t="s">
        <v>96</v>
      </c>
      <c r="B441" s="15" t="s">
        <v>356</v>
      </c>
      <c r="C441" s="15" t="s">
        <v>97</v>
      </c>
      <c r="D441" s="17">
        <v>5299.7</v>
      </c>
      <c r="E441" s="13">
        <f t="shared" si="148"/>
        <v>151.40000000000055</v>
      </c>
      <c r="F441" s="17">
        <v>5451.1</v>
      </c>
      <c r="G441" s="17"/>
      <c r="H441" s="121"/>
      <c r="I441" s="108">
        <f t="shared" ref="I441:J442" si="175">I442</f>
        <v>3431.86</v>
      </c>
      <c r="J441" s="108">
        <f t="shared" si="175"/>
        <v>3582.4199999999996</v>
      </c>
      <c r="K441" s="129"/>
    </row>
    <row r="442" spans="1:11" s="47" customFormat="1" ht="37.5" customHeight="1">
      <c r="A442" s="165" t="s">
        <v>199</v>
      </c>
      <c r="B442" s="20" t="s">
        <v>354</v>
      </c>
      <c r="C442" s="19"/>
      <c r="D442" s="17">
        <f>D443</f>
        <v>103.1</v>
      </c>
      <c r="E442" s="13">
        <f t="shared" si="148"/>
        <v>-3.7999999999999972</v>
      </c>
      <c r="F442" s="17">
        <f>F443</f>
        <v>99.3</v>
      </c>
      <c r="G442" s="17"/>
      <c r="H442" s="121"/>
      <c r="I442" s="108">
        <f t="shared" si="175"/>
        <v>3431.86</v>
      </c>
      <c r="J442" s="108">
        <f t="shared" si="175"/>
        <v>3582.4199999999996</v>
      </c>
      <c r="K442" s="129"/>
    </row>
    <row r="443" spans="1:11" s="47" customFormat="1" ht="30" customHeight="1">
      <c r="A443" s="28" t="s">
        <v>199</v>
      </c>
      <c r="B443" s="15" t="s">
        <v>354</v>
      </c>
      <c r="C443" s="4"/>
      <c r="D443" s="17">
        <f>D444</f>
        <v>103.1</v>
      </c>
      <c r="E443" s="13">
        <f t="shared" si="148"/>
        <v>-3.7999999999999972</v>
      </c>
      <c r="F443" s="17">
        <f>F444</f>
        <v>99.3</v>
      </c>
      <c r="G443" s="17"/>
      <c r="H443" s="121"/>
      <c r="I443" s="108">
        <f t="shared" ref="I443:J443" si="176">I444+I445+I446+I447+I448</f>
        <v>3431.86</v>
      </c>
      <c r="J443" s="108">
        <f t="shared" si="176"/>
        <v>3582.4199999999996</v>
      </c>
      <c r="K443" s="129"/>
    </row>
    <row r="444" spans="1:11" s="47" customFormat="1" ht="24.75" customHeight="1">
      <c r="A444" s="28" t="s">
        <v>199</v>
      </c>
      <c r="B444" s="15" t="s">
        <v>354</v>
      </c>
      <c r="C444" s="7"/>
      <c r="D444" s="17">
        <f>D445+D447</f>
        <v>103.1</v>
      </c>
      <c r="E444" s="13">
        <f t="shared" si="148"/>
        <v>-3.7999999999999972</v>
      </c>
      <c r="F444" s="17">
        <f>F445</f>
        <v>99.3</v>
      </c>
      <c r="G444" s="17"/>
      <c r="H444" s="121"/>
      <c r="I444" s="107">
        <f t="shared" ref="I444:J444" si="177">2603.33</f>
        <v>2603.33</v>
      </c>
      <c r="J444" s="107">
        <f t="shared" si="177"/>
        <v>2603.33</v>
      </c>
      <c r="K444" s="129"/>
    </row>
    <row r="445" spans="1:11" s="47" customFormat="1" ht="41.25" customHeight="1">
      <c r="A445" s="28" t="s">
        <v>200</v>
      </c>
      <c r="B445" s="15" t="s">
        <v>357</v>
      </c>
      <c r="C445" s="15"/>
      <c r="D445" s="17">
        <f>SUM(D446:D446)</f>
        <v>103.1</v>
      </c>
      <c r="E445" s="13">
        <f t="shared" si="148"/>
        <v>-3.7999999999999972</v>
      </c>
      <c r="F445" s="17">
        <f>F446</f>
        <v>99.3</v>
      </c>
      <c r="G445" s="17"/>
      <c r="H445" s="121"/>
      <c r="I445" s="107">
        <v>42</v>
      </c>
      <c r="J445" s="107">
        <v>42</v>
      </c>
      <c r="K445" s="129"/>
    </row>
    <row r="446" spans="1:11" s="47" customFormat="1" ht="27.75" customHeight="1">
      <c r="A446" s="28" t="s">
        <v>19</v>
      </c>
      <c r="B446" s="15" t="s">
        <v>357</v>
      </c>
      <c r="C446" s="15" t="s">
        <v>20</v>
      </c>
      <c r="D446" s="17">
        <v>103.1</v>
      </c>
      <c r="E446" s="13">
        <f t="shared" ref="E446:E509" si="178">F446-D446</f>
        <v>-3.7999999999999972</v>
      </c>
      <c r="F446" s="17">
        <v>99.3</v>
      </c>
      <c r="G446" s="17"/>
      <c r="H446" s="121"/>
      <c r="I446" s="107">
        <v>786.21</v>
      </c>
      <c r="J446" s="107">
        <v>786.21</v>
      </c>
      <c r="K446" s="129"/>
    </row>
    <row r="447" spans="1:11" s="47" customFormat="1" ht="25.5" customHeight="1">
      <c r="A447" s="28" t="s">
        <v>235</v>
      </c>
      <c r="B447" s="15" t="s">
        <v>383</v>
      </c>
      <c r="C447" s="15"/>
      <c r="D447" s="17">
        <f>D448</f>
        <v>0</v>
      </c>
      <c r="E447" s="13">
        <f t="shared" si="178"/>
        <v>778.6</v>
      </c>
      <c r="F447" s="17">
        <f>F448</f>
        <v>778.6</v>
      </c>
      <c r="G447" s="17"/>
      <c r="H447" s="121"/>
      <c r="I447" s="107"/>
      <c r="J447" s="107">
        <f t="shared" ref="J447" si="179">3582.41-3431.53-0.32</f>
        <v>150.55999999999966</v>
      </c>
      <c r="K447" s="129"/>
    </row>
    <row r="448" spans="1:11" s="47" customFormat="1" ht="28.5" customHeight="1">
      <c r="A448" s="28" t="s">
        <v>236</v>
      </c>
      <c r="B448" s="15" t="s">
        <v>383</v>
      </c>
      <c r="C448" s="15" t="s">
        <v>237</v>
      </c>
      <c r="D448" s="17"/>
      <c r="E448" s="13">
        <f t="shared" si="178"/>
        <v>778.6</v>
      </c>
      <c r="F448" s="17">
        <v>778.6</v>
      </c>
      <c r="G448" s="17"/>
      <c r="H448" s="121"/>
      <c r="I448" s="107">
        <v>0.32</v>
      </c>
      <c r="J448" s="107">
        <v>0.32</v>
      </c>
      <c r="K448" s="129"/>
    </row>
    <row r="449" spans="1:11" s="47" customFormat="1" ht="57" customHeight="1">
      <c r="A449" s="28" t="s">
        <v>238</v>
      </c>
      <c r="B449" s="15" t="s">
        <v>384</v>
      </c>
      <c r="C449" s="15"/>
      <c r="D449" s="17">
        <f>D450</f>
        <v>0</v>
      </c>
      <c r="E449" s="13">
        <f t="shared" si="178"/>
        <v>0</v>
      </c>
      <c r="F449" s="17">
        <v>0</v>
      </c>
      <c r="G449" s="115">
        <f>G450</f>
        <v>2337.02</v>
      </c>
      <c r="H449" s="121"/>
      <c r="I449" s="127"/>
      <c r="J449" s="127"/>
      <c r="K449" s="129"/>
    </row>
    <row r="450" spans="1:11" ht="30" customHeight="1">
      <c r="A450" s="28" t="s">
        <v>236</v>
      </c>
      <c r="B450" s="15" t="s">
        <v>384</v>
      </c>
      <c r="C450" s="15" t="s">
        <v>237</v>
      </c>
      <c r="D450" s="17"/>
      <c r="E450" s="13">
        <f t="shared" si="178"/>
        <v>0</v>
      </c>
      <c r="F450" s="17">
        <v>0</v>
      </c>
      <c r="G450" s="115">
        <f>G451+G454</f>
        <v>2337.02</v>
      </c>
      <c r="H450" s="120"/>
      <c r="I450" s="124"/>
      <c r="J450" s="124"/>
      <c r="K450" s="129"/>
    </row>
    <row r="451" spans="1:11" ht="30" customHeight="1">
      <c r="A451" s="28" t="s">
        <v>402</v>
      </c>
      <c r="B451" s="20" t="s">
        <v>403</v>
      </c>
      <c r="C451" s="20"/>
      <c r="D451" s="17">
        <f>D452</f>
        <v>555.20000000000005</v>
      </c>
      <c r="E451" s="13">
        <f t="shared" si="178"/>
        <v>-264.09000000000003</v>
      </c>
      <c r="F451" s="17">
        <f>F452</f>
        <v>291.11</v>
      </c>
      <c r="G451" s="115">
        <f>SUBTOTAL(9,G452:G453)</f>
        <v>2250.62</v>
      </c>
      <c r="H451" s="120"/>
      <c r="I451" s="124"/>
      <c r="J451" s="124"/>
      <c r="K451" s="129"/>
    </row>
    <row r="452" spans="1:11" ht="19.5" customHeight="1">
      <c r="A452" s="35" t="s">
        <v>113</v>
      </c>
      <c r="B452" s="20" t="s">
        <v>403</v>
      </c>
      <c r="C452" s="20" t="s">
        <v>114</v>
      </c>
      <c r="D452" s="17">
        <f>455.2+100</f>
        <v>555.20000000000005</v>
      </c>
      <c r="E452" s="13">
        <f t="shared" si="178"/>
        <v>-264.09000000000003</v>
      </c>
      <c r="F452" s="17">
        <f>288.2+2.91</f>
        <v>291.11</v>
      </c>
      <c r="G452" s="115">
        <f>2074.21-345.6</f>
        <v>1728.6100000000001</v>
      </c>
      <c r="H452" s="120"/>
      <c r="I452" s="124"/>
      <c r="J452" s="124"/>
      <c r="K452" s="129"/>
    </row>
    <row r="453" spans="1:11" ht="40.5" customHeight="1">
      <c r="A453" s="28" t="s">
        <v>412</v>
      </c>
      <c r="B453" s="15" t="s">
        <v>411</v>
      </c>
      <c r="C453" s="23"/>
      <c r="D453" s="24">
        <f>D454</f>
        <v>2423.73</v>
      </c>
      <c r="E453" s="13">
        <f t="shared" si="178"/>
        <v>-2423.73</v>
      </c>
      <c r="F453" s="24">
        <f>F454</f>
        <v>0</v>
      </c>
      <c r="G453" s="115">
        <f>626.41-104.4</f>
        <v>522.01</v>
      </c>
      <c r="H453" s="120"/>
      <c r="I453" s="124"/>
      <c r="J453" s="124"/>
      <c r="K453" s="129"/>
    </row>
    <row r="454" spans="1:11" ht="25.5" customHeight="1">
      <c r="A454" s="35" t="s">
        <v>113</v>
      </c>
      <c r="B454" s="15" t="s">
        <v>411</v>
      </c>
      <c r="C454" s="25">
        <v>322</v>
      </c>
      <c r="D454" s="24">
        <f>2399.5+24.23</f>
        <v>2423.73</v>
      </c>
      <c r="E454" s="13">
        <f t="shared" si="178"/>
        <v>-2423.73</v>
      </c>
      <c r="F454" s="17">
        <v>0</v>
      </c>
      <c r="G454" s="115">
        <f>SUM(G455:G457)</f>
        <v>86.4</v>
      </c>
      <c r="H454" s="120"/>
      <c r="I454" s="124"/>
      <c r="J454" s="124"/>
      <c r="K454" s="129"/>
    </row>
    <row r="455" spans="1:11" ht="38.25" customHeight="1">
      <c r="A455" s="28" t="s">
        <v>520</v>
      </c>
      <c r="B455" s="15" t="s">
        <v>519</v>
      </c>
      <c r="C455" s="25"/>
      <c r="D455" s="24"/>
      <c r="E455" s="13">
        <f t="shared" si="178"/>
        <v>659.09</v>
      </c>
      <c r="F455" s="24">
        <f>F456</f>
        <v>659.09</v>
      </c>
      <c r="G455" s="115"/>
      <c r="H455" s="120"/>
      <c r="I455" s="124"/>
      <c r="J455" s="124"/>
      <c r="K455" s="129"/>
    </row>
    <row r="456" spans="1:11" ht="24.75" customHeight="1">
      <c r="A456" s="35" t="s">
        <v>113</v>
      </c>
      <c r="B456" s="15" t="s">
        <v>519</v>
      </c>
      <c r="C456" s="25">
        <v>322</v>
      </c>
      <c r="D456" s="24"/>
      <c r="E456" s="13">
        <f t="shared" si="178"/>
        <v>659.09</v>
      </c>
      <c r="F456" s="24">
        <f>652.5+6.59</f>
        <v>659.09</v>
      </c>
      <c r="G456" s="115">
        <f>23+27+36</f>
        <v>86</v>
      </c>
      <c r="H456" s="120"/>
      <c r="I456" s="124"/>
      <c r="J456" s="124"/>
      <c r="K456" s="129"/>
    </row>
    <row r="457" spans="1:11" ht="15" customHeight="1">
      <c r="A457" s="30" t="s">
        <v>613</v>
      </c>
      <c r="B457" s="7" t="s">
        <v>278</v>
      </c>
      <c r="C457" s="7"/>
      <c r="D457" s="13">
        <f>D459</f>
        <v>1524.1</v>
      </c>
      <c r="E457" s="13">
        <f t="shared" si="178"/>
        <v>-1524.1</v>
      </c>
      <c r="F457" s="17">
        <v>0</v>
      </c>
      <c r="G457" s="115">
        <v>0.4</v>
      </c>
      <c r="H457" s="120"/>
      <c r="I457" s="124"/>
      <c r="J457" s="124"/>
      <c r="K457" s="129"/>
    </row>
    <row r="458" spans="1:11" ht="15.75" customHeight="1">
      <c r="A458" s="30" t="s">
        <v>264</v>
      </c>
      <c r="B458" s="7" t="s">
        <v>278</v>
      </c>
      <c r="C458" s="7"/>
      <c r="D458" s="17">
        <f>D459</f>
        <v>1524.1</v>
      </c>
      <c r="E458" s="13">
        <f t="shared" si="178"/>
        <v>-1524.1</v>
      </c>
      <c r="F458" s="17">
        <v>0</v>
      </c>
      <c r="G458" s="17">
        <f>G459</f>
        <v>8535.5999999999985</v>
      </c>
      <c r="H458" s="120"/>
      <c r="I458" s="108">
        <f t="shared" ref="I458:J459" si="180">I459</f>
        <v>6371.84</v>
      </c>
      <c r="J458" s="108">
        <f t="shared" si="180"/>
        <v>7128.39</v>
      </c>
      <c r="K458" s="129"/>
    </row>
    <row r="459" spans="1:11" ht="25.5" customHeight="1">
      <c r="A459" s="28" t="s">
        <v>40</v>
      </c>
      <c r="B459" s="16" t="s">
        <v>281</v>
      </c>
      <c r="C459" s="15"/>
      <c r="D459" s="13">
        <f>SUM(D460:D461)</f>
        <v>1524.1</v>
      </c>
      <c r="E459" s="13">
        <f t="shared" si="178"/>
        <v>-1524.1</v>
      </c>
      <c r="F459" s="17">
        <v>0</v>
      </c>
      <c r="G459" s="17">
        <f>G460+G480</f>
        <v>8535.5999999999985</v>
      </c>
      <c r="H459" s="120"/>
      <c r="I459" s="108">
        <f t="shared" si="180"/>
        <v>6371.84</v>
      </c>
      <c r="J459" s="108">
        <f t="shared" si="180"/>
        <v>7128.39</v>
      </c>
      <c r="K459" s="129"/>
    </row>
    <row r="460" spans="1:11" ht="29.25" customHeight="1">
      <c r="A460" s="28" t="s">
        <v>41</v>
      </c>
      <c r="B460" s="16" t="s">
        <v>281</v>
      </c>
      <c r="C460" s="15" t="s">
        <v>42</v>
      </c>
      <c r="D460" s="13">
        <f>1358.8-150.5</f>
        <v>1208.3</v>
      </c>
      <c r="E460" s="13">
        <f t="shared" si="178"/>
        <v>-1208.3</v>
      </c>
      <c r="F460" s="17">
        <v>0</v>
      </c>
      <c r="G460" s="17">
        <f>G471+G474</f>
        <v>7987.8099999999986</v>
      </c>
      <c r="H460" s="120"/>
      <c r="I460" s="108">
        <f t="shared" ref="I460:J460" si="181">I461+I469</f>
        <v>6371.84</v>
      </c>
      <c r="J460" s="108">
        <f t="shared" si="181"/>
        <v>7128.39</v>
      </c>
      <c r="K460" s="129"/>
    </row>
    <row r="461" spans="1:11" ht="36.75" customHeight="1">
      <c r="A461" s="28" t="s">
        <v>276</v>
      </c>
      <c r="B461" s="16" t="s">
        <v>281</v>
      </c>
      <c r="C461" s="15" t="s">
        <v>44</v>
      </c>
      <c r="D461" s="13">
        <f>361.3-45.5</f>
        <v>315.8</v>
      </c>
      <c r="E461" s="13">
        <f t="shared" si="178"/>
        <v>-315.8</v>
      </c>
      <c r="F461" s="17">
        <v>0</v>
      </c>
      <c r="G461" s="17"/>
      <c r="H461" s="120"/>
      <c r="I461" s="108">
        <f t="shared" ref="I461:J461" si="182">SUM(I462:I468)</f>
        <v>5936.4800000000005</v>
      </c>
      <c r="J461" s="108">
        <f t="shared" si="182"/>
        <v>6693.0300000000007</v>
      </c>
      <c r="K461" s="129"/>
    </row>
    <row r="462" spans="1:11" ht="18.75" customHeight="1">
      <c r="A462" s="28" t="s">
        <v>45</v>
      </c>
      <c r="B462" s="16" t="s">
        <v>282</v>
      </c>
      <c r="C462" s="15"/>
      <c r="D462" s="13">
        <f>SUM(D463:D464)</f>
        <v>4.0999999999999996</v>
      </c>
      <c r="E462" s="13">
        <f t="shared" si="178"/>
        <v>-4.0999999999999996</v>
      </c>
      <c r="F462" s="17">
        <v>0</v>
      </c>
      <c r="G462" s="17"/>
      <c r="H462" s="120"/>
      <c r="I462" s="107">
        <f t="shared" ref="I462:J462" si="183">6356.04-2090.83</f>
        <v>4265.21</v>
      </c>
      <c r="J462" s="107">
        <f t="shared" si="183"/>
        <v>4265.21</v>
      </c>
      <c r="K462" s="129"/>
    </row>
    <row r="463" spans="1:11" ht="25.5" customHeight="1">
      <c r="A463" s="28" t="s">
        <v>46</v>
      </c>
      <c r="B463" s="16" t="s">
        <v>282</v>
      </c>
      <c r="C463" s="4" t="s">
        <v>47</v>
      </c>
      <c r="D463" s="13"/>
      <c r="E463" s="13">
        <f t="shared" si="178"/>
        <v>0</v>
      </c>
      <c r="F463" s="17">
        <v>0</v>
      </c>
      <c r="G463" s="17"/>
      <c r="H463" s="120"/>
      <c r="I463" s="107">
        <v>277.2</v>
      </c>
      <c r="J463" s="107">
        <v>277.2</v>
      </c>
      <c r="K463" s="129"/>
    </row>
    <row r="464" spans="1:11" ht="25.5" customHeight="1">
      <c r="A464" s="28" t="s">
        <v>19</v>
      </c>
      <c r="B464" s="16" t="s">
        <v>282</v>
      </c>
      <c r="C464" s="4">
        <v>244</v>
      </c>
      <c r="D464" s="13">
        <f>1.7+2.4</f>
        <v>4.0999999999999996</v>
      </c>
      <c r="E464" s="13">
        <f t="shared" si="178"/>
        <v>-4.0999999999999996</v>
      </c>
      <c r="F464" s="17">
        <v>0</v>
      </c>
      <c r="G464" s="17"/>
      <c r="H464" s="120"/>
      <c r="I464" s="107">
        <f t="shared" ref="I464:J464" si="184">1919.52-631.43</f>
        <v>1288.0900000000001</v>
      </c>
      <c r="J464" s="107">
        <f t="shared" si="184"/>
        <v>1288.0900000000001</v>
      </c>
      <c r="K464" s="129"/>
    </row>
    <row r="465" spans="1:11" ht="25.5" customHeight="1">
      <c r="A465" s="28" t="s">
        <v>275</v>
      </c>
      <c r="B465" s="16" t="s">
        <v>283</v>
      </c>
      <c r="C465" s="15"/>
      <c r="D465" s="17">
        <f>D466</f>
        <v>3511.6</v>
      </c>
      <c r="E465" s="13">
        <f t="shared" si="178"/>
        <v>-3511.6</v>
      </c>
      <c r="F465" s="17">
        <v>0</v>
      </c>
      <c r="G465" s="17"/>
      <c r="H465" s="120"/>
      <c r="I465" s="107"/>
      <c r="J465" s="107">
        <f t="shared" ref="J465" si="185">9850.65-4265.21-277.2-1288.09-2090.83-631.43-88.7-2.6-14.68-435.36</f>
        <v>756.54999999999984</v>
      </c>
      <c r="K465" s="129"/>
    </row>
    <row r="466" spans="1:11" ht="39" customHeight="1">
      <c r="A466" s="28" t="s">
        <v>324</v>
      </c>
      <c r="B466" s="16" t="s">
        <v>284</v>
      </c>
      <c r="C466" s="15"/>
      <c r="D466" s="17">
        <f>D467+D470</f>
        <v>3511.6</v>
      </c>
      <c r="E466" s="13">
        <f t="shared" si="178"/>
        <v>-3511.6</v>
      </c>
      <c r="F466" s="17">
        <v>0</v>
      </c>
      <c r="G466" s="17"/>
      <c r="H466" s="120"/>
      <c r="I466" s="107">
        <v>88.7</v>
      </c>
      <c r="J466" s="107">
        <v>88.7</v>
      </c>
      <c r="K466" s="129"/>
    </row>
    <row r="467" spans="1:11" ht="25.5" customHeight="1">
      <c r="A467" s="28" t="s">
        <v>103</v>
      </c>
      <c r="B467" s="16" t="s">
        <v>285</v>
      </c>
      <c r="C467" s="15"/>
      <c r="D467" s="17">
        <f>SUBTOTAL(9,D468:D469)</f>
        <v>3511.6</v>
      </c>
      <c r="E467" s="13">
        <f t="shared" si="178"/>
        <v>-3511.6</v>
      </c>
      <c r="F467" s="17">
        <v>0</v>
      </c>
      <c r="G467" s="17"/>
      <c r="H467" s="120"/>
      <c r="I467" s="107">
        <v>2.6</v>
      </c>
      <c r="J467" s="107">
        <v>2.6</v>
      </c>
      <c r="K467" s="129"/>
    </row>
    <row r="468" spans="1:11" ht="17.25" customHeight="1">
      <c r="A468" s="28" t="s">
        <v>104</v>
      </c>
      <c r="B468" s="16" t="s">
        <v>285</v>
      </c>
      <c r="C468" s="15" t="s">
        <v>42</v>
      </c>
      <c r="D468" s="17">
        <v>2697.1</v>
      </c>
      <c r="E468" s="13">
        <f t="shared" si="178"/>
        <v>-2697.1</v>
      </c>
      <c r="F468" s="17">
        <v>0</v>
      </c>
      <c r="G468" s="17"/>
      <c r="H468" s="120"/>
      <c r="I468" s="107">
        <f t="shared" ref="I468:J468" si="186">105.98-88.7-2.6</f>
        <v>14.680000000000001</v>
      </c>
      <c r="J468" s="107">
        <f t="shared" si="186"/>
        <v>14.680000000000001</v>
      </c>
      <c r="K468" s="129"/>
    </row>
    <row r="469" spans="1:11" ht="49.5" customHeight="1">
      <c r="A469" s="28" t="s">
        <v>276</v>
      </c>
      <c r="B469" s="16" t="s">
        <v>285</v>
      </c>
      <c r="C469" s="15" t="s">
        <v>44</v>
      </c>
      <c r="D469" s="17">
        <v>814.5</v>
      </c>
      <c r="E469" s="13">
        <f t="shared" si="178"/>
        <v>-814.5</v>
      </c>
      <c r="F469" s="17">
        <v>0</v>
      </c>
      <c r="G469" s="17"/>
      <c r="H469" s="120"/>
      <c r="I469" s="108">
        <f t="shared" ref="I469:J469" si="187">I470</f>
        <v>435.36</v>
      </c>
      <c r="J469" s="108">
        <f t="shared" si="187"/>
        <v>435.36</v>
      </c>
      <c r="K469" s="129"/>
    </row>
    <row r="470" spans="1:11" ht="25.5" customHeight="1">
      <c r="A470" s="28" t="s">
        <v>277</v>
      </c>
      <c r="B470" s="16" t="s">
        <v>286</v>
      </c>
      <c r="C470" s="15"/>
      <c r="D470" s="17">
        <f>SUBTOTAL(9,D471:D471)</f>
        <v>0</v>
      </c>
      <c r="E470" s="13">
        <f t="shared" si="178"/>
        <v>0</v>
      </c>
      <c r="F470" s="17">
        <v>0</v>
      </c>
      <c r="G470" s="17"/>
      <c r="H470" s="120"/>
      <c r="I470" s="107">
        <v>435.36</v>
      </c>
      <c r="J470" s="107">
        <v>435.36</v>
      </c>
      <c r="K470" s="129"/>
    </row>
    <row r="471" spans="1:11" ht="25.5" customHeight="1">
      <c r="A471" s="28" t="s">
        <v>105</v>
      </c>
      <c r="B471" s="16" t="s">
        <v>286</v>
      </c>
      <c r="C471" s="4" t="s">
        <v>47</v>
      </c>
      <c r="D471" s="17"/>
      <c r="E471" s="13">
        <f t="shared" si="178"/>
        <v>0</v>
      </c>
      <c r="F471" s="17">
        <v>0</v>
      </c>
      <c r="G471" s="115">
        <f>SUBTOTAL(9,G472:G473)</f>
        <v>7368.6999999999989</v>
      </c>
      <c r="H471" s="120"/>
      <c r="I471" s="124"/>
      <c r="J471" s="124"/>
      <c r="K471" s="129"/>
    </row>
    <row r="472" spans="1:11" ht="30" customHeight="1">
      <c r="A472" s="28" t="s">
        <v>325</v>
      </c>
      <c r="B472" s="16" t="s">
        <v>287</v>
      </c>
      <c r="C472" s="4"/>
      <c r="D472" s="17">
        <f>D473</f>
        <v>5031.3499999999995</v>
      </c>
      <c r="E472" s="13">
        <f t="shared" si="178"/>
        <v>-5031.3499999999995</v>
      </c>
      <c r="F472" s="17">
        <v>0</v>
      </c>
      <c r="G472" s="115">
        <f>6197.2-537.6</f>
        <v>5659.5999999999995</v>
      </c>
      <c r="H472" s="120"/>
      <c r="I472" s="124"/>
      <c r="J472" s="124"/>
      <c r="K472" s="129"/>
    </row>
    <row r="473" spans="1:11" ht="18.75" customHeight="1">
      <c r="A473" s="28" t="s">
        <v>106</v>
      </c>
      <c r="B473" s="16" t="s">
        <v>288</v>
      </c>
      <c r="C473" s="4"/>
      <c r="D473" s="17">
        <f>D474+D477</f>
        <v>5031.3499999999995</v>
      </c>
      <c r="E473" s="13">
        <f t="shared" si="178"/>
        <v>-5031.3499999999995</v>
      </c>
      <c r="F473" s="17">
        <v>0</v>
      </c>
      <c r="G473" s="115">
        <f>1871.5-162.4</f>
        <v>1709.1</v>
      </c>
      <c r="H473" s="120"/>
      <c r="I473" s="124"/>
      <c r="J473" s="124"/>
      <c r="K473" s="129"/>
    </row>
    <row r="474" spans="1:11" ht="25.5" customHeight="1">
      <c r="A474" s="28" t="s">
        <v>107</v>
      </c>
      <c r="B474" s="16" t="s">
        <v>289</v>
      </c>
      <c r="C474" s="4"/>
      <c r="D474" s="17">
        <f>SUBTOTAL(9,D475:D476)</f>
        <v>4458.3999999999996</v>
      </c>
      <c r="E474" s="13">
        <f t="shared" si="178"/>
        <v>-4458.3999999999996</v>
      </c>
      <c r="F474" s="17">
        <v>0</v>
      </c>
      <c r="G474" s="115">
        <f>SUBTOTAL(9,G475:G479)</f>
        <v>619.11</v>
      </c>
      <c r="H474" s="120"/>
      <c r="I474" s="124"/>
      <c r="J474" s="124"/>
      <c r="K474" s="129"/>
    </row>
    <row r="475" spans="1:11" ht="25.5" customHeight="1">
      <c r="A475" s="28" t="s">
        <v>104</v>
      </c>
      <c r="B475" s="16" t="s">
        <v>289</v>
      </c>
      <c r="C475" s="15" t="s">
        <v>42</v>
      </c>
      <c r="D475" s="17">
        <f>3854.4-430</f>
        <v>3424.4</v>
      </c>
      <c r="E475" s="13">
        <f t="shared" si="178"/>
        <v>-3424.4</v>
      </c>
      <c r="F475" s="17">
        <v>0</v>
      </c>
      <c r="G475" s="115"/>
      <c r="H475" s="120"/>
      <c r="I475" s="124"/>
      <c r="J475" s="124"/>
      <c r="K475" s="129"/>
    </row>
    <row r="476" spans="1:11" ht="25.5" customHeight="1">
      <c r="A476" s="28" t="s">
        <v>276</v>
      </c>
      <c r="B476" s="16" t="s">
        <v>289</v>
      </c>
      <c r="C476" s="15" t="s">
        <v>44</v>
      </c>
      <c r="D476" s="17">
        <f>1164-130</f>
        <v>1034</v>
      </c>
      <c r="E476" s="13">
        <f t="shared" si="178"/>
        <v>-1034</v>
      </c>
      <c r="F476" s="17">
        <v>0</v>
      </c>
      <c r="G476" s="115">
        <f>57.36+91.7+49.93+58.4+284.74</f>
        <v>542.13</v>
      </c>
      <c r="H476" s="120"/>
      <c r="I476" s="124"/>
      <c r="J476" s="124"/>
      <c r="K476" s="129"/>
    </row>
    <row r="477" spans="1:11" ht="25.5" customHeight="1">
      <c r="A477" s="28" t="s">
        <v>108</v>
      </c>
      <c r="B477" s="16" t="s">
        <v>290</v>
      </c>
      <c r="C477" s="4"/>
      <c r="D477" s="17">
        <f>SUM(D478:D481)</f>
        <v>572.94999999999993</v>
      </c>
      <c r="E477" s="13">
        <f t="shared" si="178"/>
        <v>-572.94999999999993</v>
      </c>
      <c r="F477" s="17">
        <v>0</v>
      </c>
      <c r="G477" s="115">
        <v>50.58</v>
      </c>
      <c r="H477" s="120"/>
      <c r="I477" s="124"/>
      <c r="J477" s="124"/>
      <c r="K477" s="129"/>
    </row>
    <row r="478" spans="1:11" ht="14.25" customHeight="1">
      <c r="A478" s="28" t="s">
        <v>46</v>
      </c>
      <c r="B478" s="16" t="s">
        <v>290</v>
      </c>
      <c r="C478" s="15" t="s">
        <v>47</v>
      </c>
      <c r="D478" s="17"/>
      <c r="E478" s="13">
        <f t="shared" si="178"/>
        <v>0</v>
      </c>
      <c r="F478" s="17">
        <v>0</v>
      </c>
      <c r="G478" s="115">
        <v>2</v>
      </c>
      <c r="H478" s="120"/>
      <c r="I478" s="124"/>
      <c r="J478" s="124"/>
      <c r="K478" s="129"/>
    </row>
    <row r="479" spans="1:11" ht="14.25" customHeight="1">
      <c r="A479" s="28" t="s">
        <v>19</v>
      </c>
      <c r="B479" s="16" t="s">
        <v>290</v>
      </c>
      <c r="C479" s="4">
        <v>244</v>
      </c>
      <c r="D479" s="17">
        <f>31.8+20+12.35+100+377+30</f>
        <v>571.15</v>
      </c>
      <c r="E479" s="13">
        <f t="shared" si="178"/>
        <v>-571.15</v>
      </c>
      <c r="F479" s="17">
        <v>0</v>
      </c>
      <c r="G479" s="115">
        <f>0.4+24</f>
        <v>24.4</v>
      </c>
      <c r="H479" s="120"/>
      <c r="I479" s="124"/>
      <c r="J479" s="124"/>
      <c r="K479" s="129"/>
    </row>
    <row r="480" spans="1:11" ht="20.25" customHeight="1">
      <c r="A480" s="28" t="s">
        <v>32</v>
      </c>
      <c r="B480" s="16" t="s">
        <v>290</v>
      </c>
      <c r="C480" s="4" t="s">
        <v>33</v>
      </c>
      <c r="D480" s="17">
        <v>1.8</v>
      </c>
      <c r="E480" s="13">
        <f t="shared" si="178"/>
        <v>-1.8</v>
      </c>
      <c r="F480" s="17">
        <v>0</v>
      </c>
      <c r="G480" s="115">
        <f>G481</f>
        <v>547.79</v>
      </c>
      <c r="H480" s="120"/>
      <c r="I480" s="124"/>
      <c r="J480" s="124"/>
      <c r="K480" s="129"/>
    </row>
    <row r="481" spans="1:11" ht="21" customHeight="1">
      <c r="A481" s="28" t="s">
        <v>21</v>
      </c>
      <c r="B481" s="16" t="s">
        <v>290</v>
      </c>
      <c r="C481" s="4" t="s">
        <v>22</v>
      </c>
      <c r="D481" s="17"/>
      <c r="E481" s="13">
        <f t="shared" si="178"/>
        <v>0</v>
      </c>
      <c r="F481" s="17">
        <v>0</v>
      </c>
      <c r="G481" s="115">
        <v>547.79</v>
      </c>
      <c r="H481" s="120"/>
      <c r="I481" s="124"/>
      <c r="J481" s="124"/>
      <c r="K481" s="129"/>
    </row>
    <row r="482" spans="1:11" ht="27" customHeight="1">
      <c r="A482" s="28" t="s">
        <v>110</v>
      </c>
      <c r="B482" s="16" t="s">
        <v>293</v>
      </c>
      <c r="C482" s="4"/>
      <c r="D482" s="17">
        <f>D483+D486+D492+D490</f>
        <v>11187.48</v>
      </c>
      <c r="E482" s="13">
        <f t="shared" si="178"/>
        <v>-11187.48</v>
      </c>
      <c r="F482" s="17">
        <v>0</v>
      </c>
      <c r="G482" s="17">
        <f t="shared" ref="G482:G484" si="188">G483</f>
        <v>0</v>
      </c>
      <c r="H482" s="120"/>
      <c r="I482" s="108">
        <f t="shared" ref="I482:J484" si="189">I483</f>
        <v>0</v>
      </c>
      <c r="J482" s="108">
        <f t="shared" si="189"/>
        <v>0</v>
      </c>
      <c r="K482" s="129"/>
    </row>
    <row r="483" spans="1:11" ht="25.5" customHeight="1">
      <c r="A483" s="28" t="s">
        <v>111</v>
      </c>
      <c r="B483" s="16" t="s">
        <v>294</v>
      </c>
      <c r="C483" s="4"/>
      <c r="D483" s="17">
        <f>SUBTOTAL(9,D484:D485)</f>
        <v>5463.2999999999993</v>
      </c>
      <c r="E483" s="13">
        <f t="shared" si="178"/>
        <v>-5463.2999999999993</v>
      </c>
      <c r="F483" s="17">
        <v>0</v>
      </c>
      <c r="G483" s="17">
        <f t="shared" si="188"/>
        <v>0</v>
      </c>
      <c r="H483" s="120"/>
      <c r="I483" s="108">
        <f t="shared" si="189"/>
        <v>0</v>
      </c>
      <c r="J483" s="108">
        <f t="shared" si="189"/>
        <v>0</v>
      </c>
      <c r="K483" s="129"/>
    </row>
    <row r="484" spans="1:11" ht="30" customHeight="1">
      <c r="A484" s="28" t="s">
        <v>10</v>
      </c>
      <c r="B484" s="16" t="s">
        <v>294</v>
      </c>
      <c r="C484" s="4" t="s">
        <v>11</v>
      </c>
      <c r="D484" s="17">
        <f>4561.7-322.6</f>
        <v>4239.0999999999995</v>
      </c>
      <c r="E484" s="13">
        <f t="shared" si="178"/>
        <v>-4239.0999999999995</v>
      </c>
      <c r="F484" s="17">
        <v>0</v>
      </c>
      <c r="G484" s="17">
        <f t="shared" si="188"/>
        <v>0</v>
      </c>
      <c r="H484" s="120"/>
      <c r="I484" s="108">
        <f t="shared" si="189"/>
        <v>0</v>
      </c>
      <c r="J484" s="108">
        <f t="shared" si="189"/>
        <v>0</v>
      </c>
      <c r="K484" s="129"/>
    </row>
    <row r="485" spans="1:11" ht="40.5" customHeight="1">
      <c r="A485" s="28" t="s">
        <v>12</v>
      </c>
      <c r="B485" s="16" t="s">
        <v>294</v>
      </c>
      <c r="C485" s="15" t="s">
        <v>13</v>
      </c>
      <c r="D485" s="17">
        <f>1321.6-97.4</f>
        <v>1224.1999999999998</v>
      </c>
      <c r="E485" s="13">
        <f t="shared" si="178"/>
        <v>-1224.1999999999998</v>
      </c>
      <c r="F485" s="17">
        <v>0</v>
      </c>
      <c r="G485" s="17">
        <f>G486+G489+G488+G490</f>
        <v>0</v>
      </c>
      <c r="H485" s="120"/>
      <c r="I485" s="108">
        <f t="shared" ref="I485:J485" si="190">I486+I487</f>
        <v>0</v>
      </c>
      <c r="J485" s="108">
        <f t="shared" si="190"/>
        <v>0</v>
      </c>
      <c r="K485" s="129"/>
    </row>
    <row r="486" spans="1:11" ht="15" customHeight="1">
      <c r="A486" s="28" t="s">
        <v>112</v>
      </c>
      <c r="B486" s="16" t="s">
        <v>295</v>
      </c>
      <c r="C486" s="15"/>
      <c r="D486" s="17">
        <f>SUBTOTAL(9,D487:D489)</f>
        <v>1427.52</v>
      </c>
      <c r="E486" s="13">
        <f t="shared" si="178"/>
        <v>-1427.52</v>
      </c>
      <c r="F486" s="17">
        <v>0</v>
      </c>
      <c r="G486" s="117"/>
      <c r="H486" s="120"/>
      <c r="I486" s="128"/>
      <c r="J486" s="128"/>
      <c r="K486" s="129" t="s">
        <v>524</v>
      </c>
    </row>
    <row r="487" spans="1:11" ht="15" customHeight="1">
      <c r="A487" s="32" t="s">
        <v>15</v>
      </c>
      <c r="B487" s="16" t="s">
        <v>295</v>
      </c>
      <c r="C487" s="15" t="s">
        <v>16</v>
      </c>
      <c r="D487" s="17"/>
      <c r="E487" s="13">
        <f t="shared" si="178"/>
        <v>0</v>
      </c>
      <c r="F487" s="17">
        <v>0</v>
      </c>
      <c r="G487" s="117"/>
      <c r="H487" s="120"/>
      <c r="I487" s="128"/>
      <c r="J487" s="128"/>
      <c r="K487" s="129" t="s">
        <v>524</v>
      </c>
    </row>
    <row r="488" spans="1:11" ht="26.25" customHeight="1">
      <c r="A488" s="28" t="s">
        <v>19</v>
      </c>
      <c r="B488" s="16" t="s">
        <v>295</v>
      </c>
      <c r="C488" s="4">
        <v>244</v>
      </c>
      <c r="D488" s="17">
        <f>75.84+503.38+100.4+227.56+188.04</f>
        <v>1095.22</v>
      </c>
      <c r="E488" s="13">
        <f t="shared" si="178"/>
        <v>-1095.22</v>
      </c>
      <c r="F488" s="17">
        <v>0</v>
      </c>
      <c r="G488" s="115"/>
      <c r="H488" s="120"/>
      <c r="I488" s="124"/>
      <c r="J488" s="124"/>
      <c r="K488" s="129"/>
    </row>
    <row r="489" spans="1:11" ht="38.25" customHeight="1">
      <c r="A489" s="28" t="s">
        <v>30</v>
      </c>
      <c r="B489" s="16" t="s">
        <v>295</v>
      </c>
      <c r="C489" s="4" t="s">
        <v>31</v>
      </c>
      <c r="D489" s="17">
        <v>332.3</v>
      </c>
      <c r="E489" s="13">
        <f t="shared" si="178"/>
        <v>-332.3</v>
      </c>
      <c r="F489" s="17">
        <v>0</v>
      </c>
      <c r="G489" s="115"/>
      <c r="H489" s="120"/>
      <c r="I489" s="124"/>
      <c r="J489" s="124"/>
      <c r="K489" s="129"/>
    </row>
    <row r="490" spans="1:11" ht="38.25" customHeight="1">
      <c r="A490" s="28" t="s">
        <v>308</v>
      </c>
      <c r="B490" s="16" t="s">
        <v>306</v>
      </c>
      <c r="C490" s="4"/>
      <c r="D490" s="17">
        <f>D491</f>
        <v>912.44</v>
      </c>
      <c r="E490" s="13">
        <f t="shared" si="178"/>
        <v>-912.44</v>
      </c>
      <c r="F490" s="17">
        <v>0</v>
      </c>
      <c r="G490" s="115"/>
      <c r="H490" s="120"/>
      <c r="I490" s="124"/>
      <c r="J490" s="124"/>
      <c r="K490" s="129"/>
    </row>
    <row r="491" spans="1:11" s="47" customFormat="1" ht="15" customHeight="1">
      <c r="A491" s="28" t="s">
        <v>19</v>
      </c>
      <c r="B491" s="16" t="s">
        <v>306</v>
      </c>
      <c r="C491" s="4" t="s">
        <v>20</v>
      </c>
      <c r="D491" s="17">
        <v>912.44</v>
      </c>
      <c r="E491" s="13">
        <f t="shared" si="178"/>
        <v>-912.44</v>
      </c>
      <c r="F491" s="17">
        <v>0</v>
      </c>
      <c r="G491" s="21">
        <f>G492+G510</f>
        <v>19213.18</v>
      </c>
      <c r="H491" s="121"/>
      <c r="I491" s="113">
        <f t="shared" ref="I491:J491" si="191">I492+I504+I510</f>
        <v>21613.15</v>
      </c>
      <c r="J491" s="113">
        <f t="shared" si="191"/>
        <v>22977.040000000001</v>
      </c>
      <c r="K491" s="129"/>
    </row>
    <row r="492" spans="1:11" s="47" customFormat="1" ht="15" customHeight="1">
      <c r="A492" s="14" t="s">
        <v>297</v>
      </c>
      <c r="B492" s="16" t="s">
        <v>487</v>
      </c>
      <c r="C492" s="4"/>
      <c r="D492" s="17">
        <f>D493</f>
        <v>3384.22</v>
      </c>
      <c r="E492" s="13">
        <f t="shared" si="178"/>
        <v>-3384.22</v>
      </c>
      <c r="F492" s="17">
        <v>0</v>
      </c>
      <c r="G492" s="21">
        <f>G495</f>
        <v>3742.8999999999996</v>
      </c>
      <c r="H492" s="121"/>
      <c r="I492" s="113">
        <f t="shared" ref="I492:J494" si="192">I493</f>
        <v>6549.3899999999994</v>
      </c>
      <c r="J492" s="113">
        <f t="shared" si="192"/>
        <v>6529.29</v>
      </c>
      <c r="K492" s="129"/>
    </row>
    <row r="493" spans="1:11" s="47" customFormat="1" ht="38.25" customHeight="1">
      <c r="A493" s="14" t="s">
        <v>19</v>
      </c>
      <c r="B493" s="16" t="s">
        <v>487</v>
      </c>
      <c r="C493" s="4" t="s">
        <v>20</v>
      </c>
      <c r="D493" s="17">
        <v>3384.22</v>
      </c>
      <c r="E493" s="13">
        <f t="shared" si="178"/>
        <v>-3384.22</v>
      </c>
      <c r="F493" s="17">
        <v>0</v>
      </c>
      <c r="G493" s="17">
        <f>G494</f>
        <v>3742.8999999999996</v>
      </c>
      <c r="H493" s="121"/>
      <c r="I493" s="108">
        <f t="shared" si="192"/>
        <v>6549.3899999999994</v>
      </c>
      <c r="J493" s="108">
        <f t="shared" si="192"/>
        <v>6529.29</v>
      </c>
      <c r="K493" s="129"/>
    </row>
    <row r="494" spans="1:11" s="47" customFormat="1" ht="15" customHeight="1">
      <c r="A494" s="28" t="s">
        <v>322</v>
      </c>
      <c r="B494" s="15" t="s">
        <v>320</v>
      </c>
      <c r="C494" s="11"/>
      <c r="D494" s="17">
        <f>D495</f>
        <v>6180.98</v>
      </c>
      <c r="E494" s="13">
        <f t="shared" si="178"/>
        <v>7634.7800000000007</v>
      </c>
      <c r="F494" s="17">
        <f>F495</f>
        <v>13815.76</v>
      </c>
      <c r="G494" s="17">
        <f>G495</f>
        <v>3742.8999999999996</v>
      </c>
      <c r="H494" s="121"/>
      <c r="I494" s="108">
        <f t="shared" si="192"/>
        <v>6549.3899999999994</v>
      </c>
      <c r="J494" s="108">
        <f t="shared" si="192"/>
        <v>6529.29</v>
      </c>
      <c r="K494" s="129"/>
    </row>
    <row r="495" spans="1:11" s="47" customFormat="1" ht="45" customHeight="1">
      <c r="A495" s="28" t="s">
        <v>322</v>
      </c>
      <c r="B495" s="15" t="s">
        <v>320</v>
      </c>
      <c r="C495" s="54"/>
      <c r="D495" s="17">
        <f>D496</f>
        <v>6180.98</v>
      </c>
      <c r="E495" s="13">
        <f t="shared" si="178"/>
        <v>7634.7800000000007</v>
      </c>
      <c r="F495" s="17">
        <f>F496</f>
        <v>13815.76</v>
      </c>
      <c r="G495" s="17">
        <f>G500+G498+G496+G502</f>
        <v>3742.8999999999996</v>
      </c>
      <c r="H495" s="121"/>
      <c r="I495" s="108">
        <f t="shared" ref="I495:J495" si="193">I496+I500+I502</f>
        <v>6549.3899999999994</v>
      </c>
      <c r="J495" s="108">
        <f t="shared" si="193"/>
        <v>6529.29</v>
      </c>
      <c r="K495" s="129"/>
    </row>
    <row r="496" spans="1:11" s="47" customFormat="1" ht="45.75" hidden="1" customHeight="1">
      <c r="A496" s="28" t="s">
        <v>322</v>
      </c>
      <c r="B496" s="15" t="s">
        <v>320</v>
      </c>
      <c r="C496" s="11"/>
      <c r="D496" s="17">
        <f>D497+D515</f>
        <v>6180.98</v>
      </c>
      <c r="E496" s="13">
        <f t="shared" si="178"/>
        <v>7634.7800000000007</v>
      </c>
      <c r="F496" s="17">
        <f>F498+F515</f>
        <v>13815.76</v>
      </c>
      <c r="G496" s="17">
        <f>G497</f>
        <v>909</v>
      </c>
      <c r="H496" s="121"/>
      <c r="I496" s="108">
        <f t="shared" ref="I496:J496" si="194">I497</f>
        <v>618.69000000000005</v>
      </c>
      <c r="J496" s="108">
        <f t="shared" si="194"/>
        <v>598.59</v>
      </c>
      <c r="K496" s="129"/>
    </row>
    <row r="497" spans="1:14" s="47" customFormat="1" ht="40.5" hidden="1" customHeight="1">
      <c r="A497" s="28" t="s">
        <v>322</v>
      </c>
      <c r="B497" s="15" t="s">
        <v>320</v>
      </c>
      <c r="C497" s="4"/>
      <c r="D497" s="17">
        <f>D498</f>
        <v>0</v>
      </c>
      <c r="E497" s="13">
        <f t="shared" si="178"/>
        <v>3582.4199999999996</v>
      </c>
      <c r="F497" s="17">
        <f>F498</f>
        <v>3582.4199999999996</v>
      </c>
      <c r="G497" s="117">
        <f>900+9</f>
        <v>909</v>
      </c>
      <c r="H497" s="121"/>
      <c r="I497" s="107">
        <f>612.5+6.19</f>
        <v>618.69000000000005</v>
      </c>
      <c r="J497" s="107">
        <f>592.6+5.99</f>
        <v>598.59</v>
      </c>
      <c r="K497" s="129" t="s">
        <v>524</v>
      </c>
      <c r="L497" s="1">
        <f>617.8/99</f>
        <v>6.24040404040404</v>
      </c>
      <c r="M497" s="1">
        <f>612.5/99</f>
        <v>6.1868686868686869</v>
      </c>
      <c r="N497" s="1">
        <f>592.6/99</f>
        <v>5.985858585858586</v>
      </c>
    </row>
    <row r="498" spans="1:14" s="47" customFormat="1" ht="51" hidden="1" customHeight="1">
      <c r="A498" s="28" t="s">
        <v>322</v>
      </c>
      <c r="B498" s="15" t="s">
        <v>320</v>
      </c>
      <c r="C498" s="4"/>
      <c r="D498" s="17"/>
      <c r="E498" s="13">
        <f t="shared" si="178"/>
        <v>3582.4199999999996</v>
      </c>
      <c r="F498" s="17">
        <f>F499</f>
        <v>3582.4199999999996</v>
      </c>
      <c r="G498" s="115">
        <f>G499</f>
        <v>0</v>
      </c>
      <c r="H498" s="153"/>
      <c r="I498" s="154"/>
      <c r="J498" s="154"/>
      <c r="K498" s="129"/>
    </row>
    <row r="499" spans="1:14" s="47" customFormat="1" ht="52.5" hidden="1" customHeight="1">
      <c r="A499" s="28" t="s">
        <v>322</v>
      </c>
      <c r="B499" s="15" t="s">
        <v>320</v>
      </c>
      <c r="C499" s="54"/>
      <c r="D499" s="17">
        <f>D500</f>
        <v>0</v>
      </c>
      <c r="E499" s="13">
        <f t="shared" si="178"/>
        <v>3582.4199999999996</v>
      </c>
      <c r="F499" s="17">
        <f>F500</f>
        <v>3582.4199999999996</v>
      </c>
      <c r="G499" s="115"/>
      <c r="H499" s="153"/>
      <c r="I499" s="154"/>
      <c r="J499" s="154"/>
      <c r="K499" s="129"/>
    </row>
    <row r="500" spans="1:14" s="47" customFormat="1" ht="51" hidden="1" customHeight="1">
      <c r="A500" s="28" t="s">
        <v>322</v>
      </c>
      <c r="B500" s="15" t="s">
        <v>320</v>
      </c>
      <c r="C500" s="15"/>
      <c r="D500" s="17">
        <f>D501</f>
        <v>0</v>
      </c>
      <c r="E500" s="13">
        <f t="shared" si="178"/>
        <v>3582.4199999999996</v>
      </c>
      <c r="F500" s="17">
        <f>F501</f>
        <v>3582.4199999999996</v>
      </c>
      <c r="G500" s="17">
        <f>G501</f>
        <v>2734.2</v>
      </c>
      <c r="H500" s="121"/>
      <c r="I500" s="108">
        <f t="shared" ref="I500:J500" si="195">I501</f>
        <v>5840.2</v>
      </c>
      <c r="J500" s="108">
        <f t="shared" si="195"/>
        <v>5840.2</v>
      </c>
      <c r="K500" s="129"/>
    </row>
    <row r="501" spans="1:14" s="47" customFormat="1" ht="49.5" hidden="1" customHeight="1">
      <c r="A501" s="28" t="s">
        <v>322</v>
      </c>
      <c r="B501" s="15" t="s">
        <v>320</v>
      </c>
      <c r="C501" s="15"/>
      <c r="D501" s="17">
        <f>D502</f>
        <v>0</v>
      </c>
      <c r="E501" s="13">
        <f t="shared" si="178"/>
        <v>3582.4199999999996</v>
      </c>
      <c r="F501" s="17">
        <f>F502</f>
        <v>3582.4199999999996</v>
      </c>
      <c r="G501" s="117">
        <v>2734.2</v>
      </c>
      <c r="H501" s="121"/>
      <c r="I501" s="107">
        <v>5840.2</v>
      </c>
      <c r="J501" s="107">
        <v>5840.2</v>
      </c>
      <c r="K501" s="129" t="s">
        <v>523</v>
      </c>
    </row>
    <row r="502" spans="1:14" s="47" customFormat="1" ht="47.25" hidden="1" customHeight="1">
      <c r="A502" s="28" t="s">
        <v>322</v>
      </c>
      <c r="B502" s="15" t="s">
        <v>320</v>
      </c>
      <c r="C502" s="7"/>
      <c r="D502" s="17">
        <f>D503</f>
        <v>0</v>
      </c>
      <c r="E502" s="13">
        <f t="shared" si="178"/>
        <v>3582.4199999999996</v>
      </c>
      <c r="F502" s="17">
        <f>F504</f>
        <v>3582.4199999999996</v>
      </c>
      <c r="G502" s="17">
        <f>G503</f>
        <v>99.7</v>
      </c>
      <c r="H502" s="121"/>
      <c r="I502" s="108">
        <f t="shared" ref="I502:J502" si="196">I503</f>
        <v>90.5</v>
      </c>
      <c r="J502" s="108">
        <f t="shared" si="196"/>
        <v>90.5</v>
      </c>
      <c r="K502" s="129"/>
    </row>
    <row r="503" spans="1:14" s="47" customFormat="1" ht="43.5" hidden="1" customHeight="1">
      <c r="A503" s="28" t="s">
        <v>322</v>
      </c>
      <c r="B503" s="15" t="s">
        <v>320</v>
      </c>
      <c r="C503" s="10"/>
      <c r="D503" s="17">
        <f>D504</f>
        <v>0</v>
      </c>
      <c r="E503" s="13">
        <f t="shared" si="178"/>
        <v>3582.4199999999996</v>
      </c>
      <c r="F503" s="17">
        <f>F504</f>
        <v>3582.4199999999996</v>
      </c>
      <c r="G503" s="117">
        <v>99.7</v>
      </c>
      <c r="H503" s="121"/>
      <c r="I503" s="107">
        <v>90.5</v>
      </c>
      <c r="J503" s="107">
        <v>90.5</v>
      </c>
      <c r="K503" s="129" t="s">
        <v>523</v>
      </c>
    </row>
    <row r="504" spans="1:14" s="47" customFormat="1" ht="16.5" customHeight="1">
      <c r="A504" s="28" t="s">
        <v>418</v>
      </c>
      <c r="B504" s="15" t="s">
        <v>627</v>
      </c>
      <c r="C504" s="11"/>
      <c r="D504" s="17"/>
      <c r="E504" s="13">
        <f t="shared" si="178"/>
        <v>3582.4199999999996</v>
      </c>
      <c r="F504" s="17">
        <f>F505</f>
        <v>3582.4199999999996</v>
      </c>
      <c r="G504" s="118"/>
      <c r="H504" s="121"/>
      <c r="I504" s="113">
        <f t="shared" ref="I504:J508" si="197">I505</f>
        <v>0</v>
      </c>
      <c r="J504" s="113">
        <f t="shared" si="197"/>
        <v>0</v>
      </c>
    </row>
    <row r="505" spans="1:14" s="47" customFormat="1" ht="41.25" customHeight="1">
      <c r="A505" s="28" t="s">
        <v>152</v>
      </c>
      <c r="B505" s="15" t="s">
        <v>628</v>
      </c>
      <c r="C505" s="11"/>
      <c r="D505" s="17"/>
      <c r="E505" s="13">
        <f t="shared" si="178"/>
        <v>3582.4199999999996</v>
      </c>
      <c r="F505" s="17">
        <f>F506</f>
        <v>3582.4199999999996</v>
      </c>
      <c r="G505" s="117"/>
      <c r="H505" s="121"/>
      <c r="I505" s="108">
        <f t="shared" si="197"/>
        <v>0</v>
      </c>
      <c r="J505" s="108">
        <f t="shared" si="197"/>
        <v>0</v>
      </c>
      <c r="K505" s="129"/>
    </row>
    <row r="506" spans="1:14" s="47" customFormat="1" ht="45.75" customHeight="1">
      <c r="A506" s="28" t="s">
        <v>552</v>
      </c>
      <c r="B506" s="15" t="s">
        <v>629</v>
      </c>
      <c r="C506" s="11"/>
      <c r="D506" s="17"/>
      <c r="E506" s="13">
        <f t="shared" si="178"/>
        <v>3582.4199999999996</v>
      </c>
      <c r="F506" s="17">
        <f>F507+F508+F509+F510+F511</f>
        <v>3582.4199999999996</v>
      </c>
      <c r="G506" s="117"/>
      <c r="H506" s="121"/>
      <c r="I506" s="108">
        <f t="shared" si="197"/>
        <v>0</v>
      </c>
      <c r="J506" s="108">
        <f t="shared" si="197"/>
        <v>0</v>
      </c>
      <c r="K506" s="129"/>
    </row>
    <row r="507" spans="1:14" s="47" customFormat="1" ht="30.75" customHeight="1">
      <c r="A507" s="28" t="s">
        <v>104</v>
      </c>
      <c r="B507" s="15" t="s">
        <v>629</v>
      </c>
      <c r="C507" s="15" t="s">
        <v>42</v>
      </c>
      <c r="D507" s="17"/>
      <c r="E507" s="13">
        <f t="shared" si="178"/>
        <v>2603.33</v>
      </c>
      <c r="F507" s="17">
        <f>2603.33</f>
        <v>2603.33</v>
      </c>
      <c r="G507" s="117"/>
      <c r="H507" s="121"/>
      <c r="I507" s="108">
        <f t="shared" si="197"/>
        <v>0</v>
      </c>
      <c r="J507" s="108">
        <f t="shared" si="197"/>
        <v>0</v>
      </c>
      <c r="K507" s="129"/>
    </row>
    <row r="508" spans="1:14" s="47" customFormat="1" ht="37.5" customHeight="1">
      <c r="A508" s="28" t="s">
        <v>46</v>
      </c>
      <c r="B508" s="15" t="s">
        <v>629</v>
      </c>
      <c r="C508" s="15" t="s">
        <v>47</v>
      </c>
      <c r="D508" s="17"/>
      <c r="E508" s="13">
        <f t="shared" si="178"/>
        <v>42</v>
      </c>
      <c r="F508" s="17">
        <v>42</v>
      </c>
      <c r="G508" s="117"/>
      <c r="H508" s="121"/>
      <c r="I508" s="108">
        <f t="shared" si="197"/>
        <v>0</v>
      </c>
      <c r="J508" s="108">
        <f t="shared" si="197"/>
        <v>0</v>
      </c>
      <c r="K508" s="129"/>
    </row>
    <row r="509" spans="1:14" s="47" customFormat="1" ht="48" customHeight="1">
      <c r="A509" s="28" t="s">
        <v>43</v>
      </c>
      <c r="B509" s="15" t="s">
        <v>629</v>
      </c>
      <c r="C509" s="15" t="s">
        <v>44</v>
      </c>
      <c r="D509" s="17"/>
      <c r="E509" s="13">
        <f t="shared" si="178"/>
        <v>786.21</v>
      </c>
      <c r="F509" s="17">
        <v>786.21</v>
      </c>
      <c r="G509" s="117"/>
      <c r="H509" s="121"/>
      <c r="I509" s="135"/>
      <c r="J509" s="135"/>
      <c r="K509" s="132" t="s">
        <v>524</v>
      </c>
      <c r="L509" s="1">
        <f>220.1/99</f>
        <v>2.223232323232323</v>
      </c>
      <c r="M509" s="1">
        <f>I509/99</f>
        <v>0</v>
      </c>
      <c r="N509" s="1">
        <f>J509/99</f>
        <v>0</v>
      </c>
    </row>
    <row r="510" spans="1:14" s="47" customFormat="1" ht="25.5" customHeight="1">
      <c r="A510" s="28" t="s">
        <v>19</v>
      </c>
      <c r="B510" s="15" t="s">
        <v>629</v>
      </c>
      <c r="C510" s="4" t="s">
        <v>20</v>
      </c>
      <c r="D510" s="17"/>
      <c r="E510" s="13">
        <f t="shared" ref="E510:E573" si="198">F510-D510</f>
        <v>150.55999999999966</v>
      </c>
      <c r="F510" s="17">
        <f>3582.41-3431.53-0.32</f>
        <v>150.55999999999966</v>
      </c>
      <c r="G510" s="21">
        <f>G511+G538</f>
        <v>15470.279999999999</v>
      </c>
      <c r="H510" s="121"/>
      <c r="I510" s="118">
        <f t="shared" ref="I510:J510" si="199">I511+I538</f>
        <v>15063.760000000002</v>
      </c>
      <c r="J510" s="118">
        <f t="shared" si="199"/>
        <v>16447.75</v>
      </c>
      <c r="K510" s="129"/>
    </row>
    <row r="511" spans="1:14" s="47" customFormat="1" ht="38.25" customHeight="1">
      <c r="A511" s="28" t="s">
        <v>32</v>
      </c>
      <c r="B511" s="15" t="s">
        <v>629</v>
      </c>
      <c r="C511" s="15" t="s">
        <v>33</v>
      </c>
      <c r="D511" s="17"/>
      <c r="E511" s="13">
        <f t="shared" si="198"/>
        <v>0.32</v>
      </c>
      <c r="F511" s="17">
        <v>0.32</v>
      </c>
      <c r="G511" s="17">
        <f>G512</f>
        <v>15470.279999999999</v>
      </c>
      <c r="H511" s="121"/>
      <c r="I511" s="108">
        <f t="shared" ref="I511:J513" si="200">I512</f>
        <v>15063.760000000002</v>
      </c>
      <c r="J511" s="108">
        <f t="shared" si="200"/>
        <v>16447.75</v>
      </c>
      <c r="K511" s="129"/>
    </row>
    <row r="512" spans="1:14" s="47" customFormat="1" ht="15" hidden="1" customHeight="1">
      <c r="A512" s="28" t="s">
        <v>319</v>
      </c>
      <c r="B512" s="15" t="s">
        <v>321</v>
      </c>
      <c r="C512" s="15"/>
      <c r="D512" s="17">
        <f>D513</f>
        <v>6180.98</v>
      </c>
      <c r="E512" s="13">
        <f t="shared" si="198"/>
        <v>4052.3600000000006</v>
      </c>
      <c r="F512" s="17">
        <f>F513</f>
        <v>10233.34</v>
      </c>
      <c r="G512" s="17">
        <f>G513</f>
        <v>15470.279999999999</v>
      </c>
      <c r="H512" s="121"/>
      <c r="I512" s="108">
        <f t="shared" si="200"/>
        <v>15063.760000000002</v>
      </c>
      <c r="J512" s="108">
        <f t="shared" si="200"/>
        <v>16447.75</v>
      </c>
      <c r="K512" s="129"/>
    </row>
    <row r="513" spans="1:11" ht="15" hidden="1" customHeight="1">
      <c r="A513" s="28" t="s">
        <v>319</v>
      </c>
      <c r="B513" s="15" t="s">
        <v>321</v>
      </c>
      <c r="C513" s="15"/>
      <c r="D513" s="17">
        <f>D514</f>
        <v>6180.98</v>
      </c>
      <c r="E513" s="13">
        <f t="shared" si="198"/>
        <v>4052.3600000000006</v>
      </c>
      <c r="F513" s="17">
        <f>F514</f>
        <v>10233.34</v>
      </c>
      <c r="G513" s="17">
        <f>G514+G535</f>
        <v>15470.279999999999</v>
      </c>
      <c r="H513" s="120"/>
      <c r="I513" s="117">
        <f t="shared" si="200"/>
        <v>15063.760000000002</v>
      </c>
      <c r="J513" s="117">
        <f t="shared" si="200"/>
        <v>16447.75</v>
      </c>
      <c r="K513" s="129"/>
    </row>
    <row r="514" spans="1:11" ht="25.5" hidden="1" customHeight="1">
      <c r="A514" s="28" t="s">
        <v>319</v>
      </c>
      <c r="B514" s="15" t="s">
        <v>321</v>
      </c>
      <c r="C514" s="7"/>
      <c r="D514" s="17">
        <f>D515</f>
        <v>6180.98</v>
      </c>
      <c r="E514" s="13">
        <f t="shared" si="198"/>
        <v>4052.3600000000006</v>
      </c>
      <c r="F514" s="17">
        <f>F515</f>
        <v>10233.34</v>
      </c>
      <c r="G514" s="17">
        <f>G524+G527+G533</f>
        <v>15470.279999999999</v>
      </c>
      <c r="H514" s="120"/>
      <c r="I514" s="108">
        <f t="shared" ref="I514:J514" si="201">I515+I522</f>
        <v>15063.760000000002</v>
      </c>
      <c r="J514" s="108">
        <f t="shared" si="201"/>
        <v>16447.75</v>
      </c>
      <c r="K514" s="129"/>
    </row>
    <row r="515" spans="1:11" ht="25.5" customHeight="1">
      <c r="A515" s="28" t="s">
        <v>319</v>
      </c>
      <c r="B515" s="15" t="s">
        <v>321</v>
      </c>
      <c r="C515" s="10"/>
      <c r="D515" s="17">
        <f>D516+D523</f>
        <v>6180.98</v>
      </c>
      <c r="E515" s="13">
        <f t="shared" si="198"/>
        <v>4052.3600000000006</v>
      </c>
      <c r="F515" s="17">
        <f>F516+F519</f>
        <v>10233.34</v>
      </c>
      <c r="G515" s="17"/>
      <c r="H515" s="120"/>
      <c r="I515" s="108">
        <f t="shared" ref="I515:J515" si="202">SUM(I516:I521)</f>
        <v>12211.650000000001</v>
      </c>
      <c r="J515" s="108">
        <f t="shared" si="202"/>
        <v>13595.640000000001</v>
      </c>
      <c r="K515" s="129"/>
    </row>
    <row r="516" spans="1:11" ht="50.25" customHeight="1">
      <c r="A516" s="28" t="s">
        <v>340</v>
      </c>
      <c r="B516" s="15" t="s">
        <v>366</v>
      </c>
      <c r="C516" s="15"/>
      <c r="D516" s="17">
        <f>D517</f>
        <v>6180.98</v>
      </c>
      <c r="E516" s="13">
        <f t="shared" si="198"/>
        <v>-1026.8099999999995</v>
      </c>
      <c r="F516" s="17">
        <f>F517</f>
        <v>5154.17</v>
      </c>
      <c r="G516" s="17"/>
      <c r="H516" s="120"/>
      <c r="I516" s="107">
        <f t="shared" ref="I516:J516" si="203">15731.19-6690.66</f>
        <v>9040.5300000000007</v>
      </c>
      <c r="J516" s="107">
        <f t="shared" si="203"/>
        <v>9040.5300000000007</v>
      </c>
      <c r="K516" s="129"/>
    </row>
    <row r="517" spans="1:11" ht="28.5" customHeight="1">
      <c r="A517" s="28" t="s">
        <v>340</v>
      </c>
      <c r="B517" s="15" t="s">
        <v>366</v>
      </c>
      <c r="C517" s="10"/>
      <c r="D517" s="17">
        <f>D518</f>
        <v>6180.98</v>
      </c>
      <c r="E517" s="13">
        <f t="shared" si="198"/>
        <v>-1026.8099999999995</v>
      </c>
      <c r="F517" s="17">
        <f>F518</f>
        <v>5154.17</v>
      </c>
      <c r="G517" s="17"/>
      <c r="H517" s="120"/>
      <c r="I517" s="107">
        <v>250.48</v>
      </c>
      <c r="J517" s="107">
        <v>250.48</v>
      </c>
      <c r="K517" s="129"/>
    </row>
    <row r="518" spans="1:11" ht="32.25" customHeight="1">
      <c r="A518" s="28" t="s">
        <v>220</v>
      </c>
      <c r="B518" s="15" t="s">
        <v>367</v>
      </c>
      <c r="C518" s="15"/>
      <c r="D518" s="17">
        <f>D527+D530+D535</f>
        <v>6180.98</v>
      </c>
      <c r="E518" s="13">
        <f t="shared" si="198"/>
        <v>-1026.8099999999995</v>
      </c>
      <c r="F518" s="17">
        <f>F519+F525</f>
        <v>5154.17</v>
      </c>
      <c r="G518" s="17"/>
      <c r="H518" s="120"/>
      <c r="I518" s="107">
        <f t="shared" ref="I518:J518" si="204">4750.82-2020.58</f>
        <v>2730.24</v>
      </c>
      <c r="J518" s="107">
        <f t="shared" si="204"/>
        <v>2730.24</v>
      </c>
      <c r="K518" s="129"/>
    </row>
    <row r="519" spans="1:11" ht="25.5" customHeight="1">
      <c r="A519" s="30" t="s">
        <v>568</v>
      </c>
      <c r="B519" s="15" t="s">
        <v>567</v>
      </c>
      <c r="C519" s="15"/>
      <c r="D519" s="17"/>
      <c r="E519" s="13">
        <f t="shared" si="198"/>
        <v>5079.17</v>
      </c>
      <c r="F519" s="17">
        <f>SUM(F520:F524)</f>
        <v>5079.17</v>
      </c>
      <c r="G519" s="17"/>
      <c r="H519" s="120"/>
      <c r="I519" s="107"/>
      <c r="J519" s="107">
        <f t="shared" ref="J519" si="205">25159-20732.5-190.4-2661.61-190.5</f>
        <v>1383.9900000000002</v>
      </c>
      <c r="K519" s="129"/>
    </row>
    <row r="520" spans="1:11" ht="28.5" customHeight="1">
      <c r="A520" s="28" t="s">
        <v>10</v>
      </c>
      <c r="B520" s="15" t="s">
        <v>567</v>
      </c>
      <c r="C520" s="15" t="s">
        <v>11</v>
      </c>
      <c r="D520" s="17"/>
      <c r="E520" s="13">
        <f t="shared" si="198"/>
        <v>3557.7299999999996</v>
      </c>
      <c r="F520" s="17">
        <f>5439.48-1881.75</f>
        <v>3557.7299999999996</v>
      </c>
      <c r="G520" s="17"/>
      <c r="H520" s="120"/>
      <c r="I520" s="107">
        <f t="shared" ref="I520:J520" si="206">190.4-3.45</f>
        <v>186.95000000000002</v>
      </c>
      <c r="J520" s="107">
        <f t="shared" si="206"/>
        <v>186.95000000000002</v>
      </c>
      <c r="K520" s="129"/>
    </row>
    <row r="521" spans="1:11" ht="16.5" customHeight="1">
      <c r="A521" s="32" t="s">
        <v>15</v>
      </c>
      <c r="B521" s="15" t="s">
        <v>567</v>
      </c>
      <c r="C521" s="15" t="s">
        <v>16</v>
      </c>
      <c r="D521" s="17"/>
      <c r="E521" s="13">
        <f t="shared" si="198"/>
        <v>84</v>
      </c>
      <c r="F521" s="17">
        <v>84</v>
      </c>
      <c r="G521" s="17"/>
      <c r="H521" s="120"/>
      <c r="I521" s="107">
        <v>3.45</v>
      </c>
      <c r="J521" s="107">
        <v>3.45</v>
      </c>
      <c r="K521" s="129"/>
    </row>
    <row r="522" spans="1:11" ht="25.5" customHeight="1">
      <c r="A522" s="28" t="s">
        <v>12</v>
      </c>
      <c r="B522" s="15" t="s">
        <v>567</v>
      </c>
      <c r="C522" s="15" t="s">
        <v>13</v>
      </c>
      <c r="D522" s="17"/>
      <c r="E522" s="13">
        <f t="shared" si="198"/>
        <v>1074.43</v>
      </c>
      <c r="F522" s="17">
        <f>1642.72-568.29</f>
        <v>1074.43</v>
      </c>
      <c r="G522" s="17"/>
      <c r="H522" s="120"/>
      <c r="I522" s="108">
        <f t="shared" ref="I522:J522" si="207">I523</f>
        <v>2852.11</v>
      </c>
      <c r="J522" s="108">
        <f t="shared" si="207"/>
        <v>2852.11</v>
      </c>
      <c r="K522" s="129"/>
    </row>
    <row r="523" spans="1:11" ht="25.5" customHeight="1">
      <c r="A523" s="28" t="s">
        <v>19</v>
      </c>
      <c r="B523" s="15" t="s">
        <v>567</v>
      </c>
      <c r="C523" s="15" t="s">
        <v>20</v>
      </c>
      <c r="D523" s="17"/>
      <c r="E523" s="13">
        <f t="shared" si="198"/>
        <v>362.69000000000023</v>
      </c>
      <c r="F523" s="17">
        <f>7604.21-3557.73-84-1074.43-75-2450.04-0.32</f>
        <v>362.69000000000023</v>
      </c>
      <c r="G523" s="17"/>
      <c r="H523" s="120"/>
      <c r="I523" s="107">
        <f t="shared" ref="I523:J523" si="208">2661.61+190.5</f>
        <v>2852.11</v>
      </c>
      <c r="J523" s="107">
        <f t="shared" si="208"/>
        <v>2852.11</v>
      </c>
      <c r="K523" s="129"/>
    </row>
    <row r="524" spans="1:11" ht="19.5" customHeight="1">
      <c r="A524" s="28" t="s">
        <v>32</v>
      </c>
      <c r="B524" s="15" t="s">
        <v>567</v>
      </c>
      <c r="C524" s="4" t="s">
        <v>33</v>
      </c>
      <c r="D524" s="17"/>
      <c r="E524" s="13">
        <f t="shared" si="198"/>
        <v>0.32</v>
      </c>
      <c r="F524" s="17">
        <v>0.32</v>
      </c>
      <c r="G524" s="115">
        <f>SUBTOTAL(9,G525:G526)</f>
        <v>10318.6</v>
      </c>
      <c r="H524" s="120"/>
      <c r="I524" s="124"/>
      <c r="J524" s="124"/>
      <c r="K524" s="129"/>
    </row>
    <row r="525" spans="1:11" ht="34.5" customHeight="1">
      <c r="A525" s="14" t="s">
        <v>394</v>
      </c>
      <c r="B525" s="15" t="s">
        <v>507</v>
      </c>
      <c r="C525" s="15"/>
      <c r="D525" s="17"/>
      <c r="E525" s="13">
        <f t="shared" si="198"/>
        <v>75</v>
      </c>
      <c r="F525" s="17">
        <f>F526</f>
        <v>75</v>
      </c>
      <c r="G525" s="115">
        <f>15762.6-845-6992.6</f>
        <v>7925</v>
      </c>
      <c r="H525" s="120"/>
      <c r="I525" s="124"/>
      <c r="J525" s="124"/>
      <c r="K525" s="129"/>
    </row>
    <row r="526" spans="1:11" ht="39.75" customHeight="1">
      <c r="A526" s="14" t="s">
        <v>19</v>
      </c>
      <c r="B526" s="15" t="s">
        <v>507</v>
      </c>
      <c r="C526" s="4" t="s">
        <v>20</v>
      </c>
      <c r="D526" s="17"/>
      <c r="E526" s="13">
        <f t="shared" si="198"/>
        <v>75</v>
      </c>
      <c r="F526" s="17">
        <v>75</v>
      </c>
      <c r="G526" s="115">
        <f>4760.3-255-2111.7</f>
        <v>2393.6000000000004</v>
      </c>
      <c r="H526" s="120"/>
      <c r="I526" s="124"/>
      <c r="J526" s="124"/>
      <c r="K526" s="129"/>
    </row>
    <row r="527" spans="1:11" ht="25.5" customHeight="1">
      <c r="A527" s="28" t="s">
        <v>221</v>
      </c>
      <c r="B527" s="15" t="s">
        <v>368</v>
      </c>
      <c r="C527" s="4"/>
      <c r="D527" s="17">
        <f>SUBTOTAL(9,D528:D529)</f>
        <v>5737.9599999999991</v>
      </c>
      <c r="E527" s="13">
        <f t="shared" si="198"/>
        <v>-5737.9599999999991</v>
      </c>
      <c r="F527" s="17">
        <v>0</v>
      </c>
      <c r="G527" s="115">
        <f>SUBTOTAL(9,G528:G532)</f>
        <v>1802.8799999999999</v>
      </c>
      <c r="H527" s="120"/>
      <c r="I527" s="124"/>
      <c r="J527" s="124"/>
      <c r="K527" s="129"/>
    </row>
    <row r="528" spans="1:11" ht="25.5" customHeight="1">
      <c r="A528" s="28" t="s">
        <v>10</v>
      </c>
      <c r="B528" s="15" t="s">
        <v>368</v>
      </c>
      <c r="C528" s="15" t="s">
        <v>11</v>
      </c>
      <c r="D528" s="17">
        <f>4972.32-565.3</f>
        <v>4407.0199999999995</v>
      </c>
      <c r="E528" s="13">
        <f t="shared" si="198"/>
        <v>-4407.0199999999995</v>
      </c>
      <c r="F528" s="17">
        <v>0</v>
      </c>
      <c r="G528" s="115"/>
      <c r="H528" s="120"/>
      <c r="I528" s="124"/>
      <c r="J528" s="124"/>
      <c r="K528" s="129"/>
    </row>
    <row r="529" spans="1:11" ht="25.5" customHeight="1">
      <c r="A529" s="28" t="s">
        <v>12</v>
      </c>
      <c r="B529" s="15" t="s">
        <v>368</v>
      </c>
      <c r="C529" s="15" t="s">
        <v>13</v>
      </c>
      <c r="D529" s="17">
        <f>1501.64-170.7</f>
        <v>1330.94</v>
      </c>
      <c r="E529" s="13">
        <f t="shared" si="198"/>
        <v>-1330.94</v>
      </c>
      <c r="F529" s="17">
        <v>0</v>
      </c>
      <c r="G529" s="115">
        <f>33.48+939.1+40+174.7+338</f>
        <v>1525.28</v>
      </c>
      <c r="H529" s="120"/>
      <c r="I529" s="124"/>
      <c r="J529" s="124"/>
      <c r="K529" s="129"/>
    </row>
    <row r="530" spans="1:11" ht="25.5" customHeight="1">
      <c r="A530" s="28" t="s">
        <v>222</v>
      </c>
      <c r="B530" s="15" t="s">
        <v>369</v>
      </c>
      <c r="C530" s="4"/>
      <c r="D530" s="17">
        <f>SUBTOTAL(9,D531:D534)</f>
        <v>371.02</v>
      </c>
      <c r="E530" s="13">
        <f t="shared" si="198"/>
        <v>-371.02</v>
      </c>
      <c r="F530" s="17">
        <v>0</v>
      </c>
      <c r="G530" s="115">
        <f>56.2+220.8</f>
        <v>277</v>
      </c>
      <c r="H530" s="120"/>
      <c r="I530" s="124"/>
      <c r="J530" s="124"/>
      <c r="K530" s="129"/>
    </row>
    <row r="531" spans="1:11" ht="15" customHeight="1">
      <c r="A531" s="32" t="s">
        <v>15</v>
      </c>
      <c r="B531" s="15" t="s">
        <v>369</v>
      </c>
      <c r="C531" s="15" t="s">
        <v>16</v>
      </c>
      <c r="D531" s="17"/>
      <c r="E531" s="13">
        <f t="shared" si="198"/>
        <v>0</v>
      </c>
      <c r="F531" s="17">
        <v>0</v>
      </c>
      <c r="G531" s="115">
        <v>0.6</v>
      </c>
      <c r="H531" s="120"/>
      <c r="I531" s="124"/>
      <c r="J531" s="124"/>
      <c r="K531" s="129"/>
    </row>
    <row r="532" spans="1:11" ht="15" customHeight="1">
      <c r="A532" s="28" t="s">
        <v>19</v>
      </c>
      <c r="B532" s="15" t="s">
        <v>369</v>
      </c>
      <c r="C532" s="4">
        <v>244</v>
      </c>
      <c r="D532" s="17">
        <f>62.04+156+32.8+6.64+185.54-72</f>
        <v>371.02</v>
      </c>
      <c r="E532" s="13">
        <f t="shared" si="198"/>
        <v>-371.02</v>
      </c>
      <c r="F532" s="17">
        <v>0</v>
      </c>
      <c r="G532" s="115"/>
      <c r="H532" s="120"/>
      <c r="I532" s="124"/>
      <c r="J532" s="124"/>
      <c r="K532" s="129"/>
    </row>
    <row r="533" spans="1:11" ht="25.5" customHeight="1">
      <c r="A533" s="28" t="s">
        <v>32</v>
      </c>
      <c r="B533" s="15" t="s">
        <v>369</v>
      </c>
      <c r="C533" s="4" t="s">
        <v>33</v>
      </c>
      <c r="D533" s="17"/>
      <c r="E533" s="13">
        <f t="shared" si="198"/>
        <v>0</v>
      </c>
      <c r="F533" s="17">
        <v>0</v>
      </c>
      <c r="G533" s="115">
        <f>G534</f>
        <v>3348.8</v>
      </c>
      <c r="H533" s="120"/>
      <c r="I533" s="124"/>
      <c r="J533" s="124"/>
      <c r="K533" s="129"/>
    </row>
    <row r="534" spans="1:11" ht="25.5" customHeight="1">
      <c r="A534" s="28" t="s">
        <v>21</v>
      </c>
      <c r="B534" s="15" t="s">
        <v>369</v>
      </c>
      <c r="C534" s="4" t="s">
        <v>22</v>
      </c>
      <c r="D534" s="17"/>
      <c r="E534" s="13">
        <f t="shared" si="198"/>
        <v>0</v>
      </c>
      <c r="F534" s="17">
        <v>0</v>
      </c>
      <c r="G534" s="115">
        <v>3348.8</v>
      </c>
      <c r="H534" s="120"/>
      <c r="I534" s="124"/>
      <c r="J534" s="124"/>
      <c r="K534" s="129"/>
    </row>
    <row r="535" spans="1:11" ht="15" customHeight="1">
      <c r="A535" s="14" t="s">
        <v>394</v>
      </c>
      <c r="B535" s="15" t="s">
        <v>486</v>
      </c>
      <c r="C535" s="4"/>
      <c r="D535" s="17">
        <f>D536</f>
        <v>72</v>
      </c>
      <c r="E535" s="13">
        <f t="shared" si="198"/>
        <v>-72</v>
      </c>
      <c r="F535" s="17">
        <v>0</v>
      </c>
      <c r="G535" s="115">
        <f>G537</f>
        <v>0</v>
      </c>
      <c r="H535" s="144"/>
      <c r="I535" s="145"/>
      <c r="J535" s="145"/>
      <c r="K535" s="129"/>
    </row>
    <row r="536" spans="1:11" ht="15" customHeight="1">
      <c r="A536" s="14" t="s">
        <v>19</v>
      </c>
      <c r="B536" s="15" t="s">
        <v>486</v>
      </c>
      <c r="C536" s="4" t="s">
        <v>20</v>
      </c>
      <c r="D536" s="17">
        <v>72</v>
      </c>
      <c r="E536" s="13">
        <f t="shared" si="198"/>
        <v>-72</v>
      </c>
      <c r="F536" s="17">
        <v>0</v>
      </c>
      <c r="G536" s="115"/>
      <c r="H536" s="144"/>
      <c r="I536" s="150"/>
      <c r="J536" s="150"/>
      <c r="K536" s="129"/>
    </row>
    <row r="537" spans="1:11" ht="25.5" customHeight="1">
      <c r="A537" s="30" t="s">
        <v>452</v>
      </c>
      <c r="B537" s="55" t="s">
        <v>601</v>
      </c>
      <c r="C537" s="10"/>
      <c r="D537" s="17">
        <f>D538</f>
        <v>6.7700000000000005</v>
      </c>
      <c r="E537" s="13">
        <f t="shared" si="198"/>
        <v>-1.2100000000000009</v>
      </c>
      <c r="F537" s="17">
        <f>F538</f>
        <v>5.56</v>
      </c>
      <c r="G537" s="115"/>
      <c r="H537" s="144"/>
      <c r="I537" s="114"/>
      <c r="J537" s="114"/>
      <c r="K537" s="129"/>
    </row>
    <row r="538" spans="1:11" ht="29.25" customHeight="1">
      <c r="A538" s="14" t="s">
        <v>19</v>
      </c>
      <c r="B538" s="55" t="s">
        <v>601</v>
      </c>
      <c r="C538" s="7" t="s">
        <v>20</v>
      </c>
      <c r="D538" s="17">
        <f>6.7+0.07</f>
        <v>6.7700000000000005</v>
      </c>
      <c r="E538" s="13">
        <f t="shared" si="198"/>
        <v>-1.2100000000000009</v>
      </c>
      <c r="F538" s="17">
        <f>5.5+0.06</f>
        <v>5.56</v>
      </c>
      <c r="G538" s="17">
        <f t="shared" ref="G538:G540" si="209">G539</f>
        <v>0</v>
      </c>
      <c r="H538" s="120"/>
      <c r="I538" s="108">
        <f t="shared" ref="I538:J540" si="210">I539</f>
        <v>0</v>
      </c>
      <c r="J538" s="108">
        <f t="shared" si="210"/>
        <v>0</v>
      </c>
      <c r="K538" s="129"/>
    </row>
    <row r="539" spans="1:11" ht="25.5" hidden="1" customHeight="1">
      <c r="A539" s="28" t="s">
        <v>201</v>
      </c>
      <c r="B539" s="15" t="s">
        <v>358</v>
      </c>
      <c r="C539" s="15"/>
      <c r="D539" s="17">
        <f>D540</f>
        <v>0</v>
      </c>
      <c r="E539" s="13">
        <f t="shared" si="198"/>
        <v>774</v>
      </c>
      <c r="F539" s="17">
        <f>F540</f>
        <v>774</v>
      </c>
      <c r="G539" s="17">
        <f t="shared" si="209"/>
        <v>0</v>
      </c>
      <c r="H539" s="120"/>
      <c r="I539" s="108">
        <f t="shared" si="210"/>
        <v>0</v>
      </c>
      <c r="J539" s="108">
        <f t="shared" si="210"/>
        <v>0</v>
      </c>
      <c r="K539" s="129"/>
    </row>
    <row r="540" spans="1:11" ht="25.5" hidden="1" customHeight="1">
      <c r="A540" s="28" t="s">
        <v>201</v>
      </c>
      <c r="B540" s="15" t="s">
        <v>358</v>
      </c>
      <c r="C540" s="15"/>
      <c r="D540" s="17">
        <f>D541</f>
        <v>0</v>
      </c>
      <c r="E540" s="13">
        <f t="shared" si="198"/>
        <v>774</v>
      </c>
      <c r="F540" s="17">
        <f>F541</f>
        <v>774</v>
      </c>
      <c r="G540" s="17">
        <f t="shared" si="209"/>
        <v>0</v>
      </c>
      <c r="H540" s="120"/>
      <c r="I540" s="108">
        <f t="shared" si="210"/>
        <v>0</v>
      </c>
      <c r="J540" s="108">
        <f t="shared" si="210"/>
        <v>0</v>
      </c>
      <c r="K540" s="129"/>
    </row>
    <row r="541" spans="1:11" ht="38.25" customHeight="1">
      <c r="A541" s="28" t="s">
        <v>201</v>
      </c>
      <c r="B541" s="15" t="s">
        <v>358</v>
      </c>
      <c r="C541" s="7"/>
      <c r="D541" s="17"/>
      <c r="E541" s="13">
        <f t="shared" si="198"/>
        <v>774</v>
      </c>
      <c r="F541" s="17">
        <f>F542+F550</f>
        <v>774</v>
      </c>
      <c r="G541" s="17">
        <f>G542+G543</f>
        <v>0</v>
      </c>
      <c r="H541" s="120"/>
      <c r="I541" s="108">
        <f t="shared" ref="I541:J541" si="211">I542+I543</f>
        <v>0</v>
      </c>
      <c r="J541" s="108">
        <f t="shared" si="211"/>
        <v>0</v>
      </c>
      <c r="K541" s="129"/>
    </row>
    <row r="542" spans="1:11" ht="15" customHeight="1">
      <c r="A542" s="28" t="s">
        <v>576</v>
      </c>
      <c r="B542" s="15" t="s">
        <v>602</v>
      </c>
      <c r="C542" s="7"/>
      <c r="D542" s="17"/>
      <c r="E542" s="13">
        <f t="shared" si="198"/>
        <v>20</v>
      </c>
      <c r="F542" s="17">
        <f>F543</f>
        <v>20</v>
      </c>
      <c r="G542" s="117"/>
      <c r="H542" s="120"/>
      <c r="I542" s="107"/>
      <c r="J542" s="107"/>
      <c r="K542" s="129" t="s">
        <v>524</v>
      </c>
    </row>
    <row r="543" spans="1:11" ht="37.5" customHeight="1">
      <c r="A543" s="28" t="s">
        <v>640</v>
      </c>
      <c r="B543" s="15" t="s">
        <v>641</v>
      </c>
      <c r="C543" s="7"/>
      <c r="D543" s="17"/>
      <c r="E543" s="13">
        <f t="shared" si="198"/>
        <v>20</v>
      </c>
      <c r="F543" s="17">
        <f>F544</f>
        <v>20</v>
      </c>
      <c r="G543" s="117"/>
      <c r="H543" s="120"/>
      <c r="I543" s="107"/>
      <c r="J543" s="107"/>
      <c r="K543" s="129" t="s">
        <v>524</v>
      </c>
    </row>
    <row r="544" spans="1:11" ht="14.25" customHeight="1">
      <c r="A544" s="14" t="s">
        <v>19</v>
      </c>
      <c r="B544" s="15" t="s">
        <v>641</v>
      </c>
      <c r="C544" s="7" t="s">
        <v>20</v>
      </c>
      <c r="D544" s="17"/>
      <c r="E544" s="13">
        <f t="shared" si="198"/>
        <v>20</v>
      </c>
      <c r="F544" s="17">
        <v>20</v>
      </c>
      <c r="G544" s="118"/>
      <c r="H544" s="121"/>
      <c r="I544" s="113">
        <f t="shared" ref="I544:J547" si="212">I545</f>
        <v>0</v>
      </c>
      <c r="J544" s="113">
        <f t="shared" si="212"/>
        <v>0</v>
      </c>
      <c r="K544" s="129"/>
    </row>
    <row r="545" spans="1:20" ht="27" customHeight="1">
      <c r="A545" s="32" t="s">
        <v>217</v>
      </c>
      <c r="B545" s="16" t="s">
        <v>365</v>
      </c>
      <c r="C545" s="15"/>
      <c r="D545" s="17">
        <f>D546</f>
        <v>70.3</v>
      </c>
      <c r="E545" s="13">
        <f t="shared" si="198"/>
        <v>1.1000000000000085</v>
      </c>
      <c r="F545" s="17">
        <f>F546</f>
        <v>71.400000000000006</v>
      </c>
      <c r="G545" s="117"/>
      <c r="H545" s="120"/>
      <c r="I545" s="108">
        <f t="shared" si="212"/>
        <v>0</v>
      </c>
      <c r="J545" s="108">
        <f t="shared" si="212"/>
        <v>0</v>
      </c>
      <c r="K545" s="129"/>
    </row>
    <row r="546" spans="1:20" ht="26.25" customHeight="1">
      <c r="A546" s="28" t="s">
        <v>19</v>
      </c>
      <c r="B546" s="16" t="s">
        <v>365</v>
      </c>
      <c r="C546" s="15" t="s">
        <v>20</v>
      </c>
      <c r="D546" s="17">
        <v>70.3</v>
      </c>
      <c r="E546" s="13">
        <f t="shared" si="198"/>
        <v>1.1000000000000085</v>
      </c>
      <c r="F546" s="17">
        <v>71.400000000000006</v>
      </c>
      <c r="G546" s="117"/>
      <c r="H546" s="120"/>
      <c r="I546" s="108">
        <f t="shared" si="212"/>
        <v>0</v>
      </c>
      <c r="J546" s="108">
        <f t="shared" si="212"/>
        <v>0</v>
      </c>
      <c r="K546" s="129"/>
    </row>
    <row r="547" spans="1:20" ht="44.25" customHeight="1">
      <c r="A547" s="28" t="s">
        <v>202</v>
      </c>
      <c r="B547" s="15" t="s">
        <v>359</v>
      </c>
      <c r="C547" s="15"/>
      <c r="D547" s="17">
        <f>SUBTOTAL(9,D548:D551)</f>
        <v>3137</v>
      </c>
      <c r="E547" s="13">
        <f t="shared" si="198"/>
        <v>284</v>
      </c>
      <c r="F547" s="17">
        <f>SUM(F548:F551)</f>
        <v>3421</v>
      </c>
      <c r="G547" s="117"/>
      <c r="H547" s="120"/>
      <c r="I547" s="108">
        <f t="shared" si="212"/>
        <v>0</v>
      </c>
      <c r="J547" s="108">
        <f t="shared" si="212"/>
        <v>0</v>
      </c>
      <c r="K547" s="129"/>
    </row>
    <row r="548" spans="1:20" ht="29.25" customHeight="1">
      <c r="A548" s="28" t="s">
        <v>104</v>
      </c>
      <c r="B548" s="15" t="s">
        <v>359</v>
      </c>
      <c r="C548" s="4" t="s">
        <v>42</v>
      </c>
      <c r="D548" s="17">
        <v>1920</v>
      </c>
      <c r="E548" s="13">
        <f t="shared" si="198"/>
        <v>577</v>
      </c>
      <c r="F548" s="17">
        <v>2497</v>
      </c>
      <c r="G548" s="17"/>
      <c r="H548" s="120"/>
      <c r="I548" s="107"/>
      <c r="J548" s="107"/>
      <c r="K548" s="129" t="s">
        <v>528</v>
      </c>
    </row>
    <row r="549" spans="1:20" s="47" customFormat="1" ht="15" customHeight="1">
      <c r="A549" s="28" t="s">
        <v>46</v>
      </c>
      <c r="B549" s="15" t="s">
        <v>359</v>
      </c>
      <c r="C549" s="4" t="s">
        <v>47</v>
      </c>
      <c r="D549" s="17">
        <v>100</v>
      </c>
      <c r="E549" s="13">
        <f t="shared" si="198"/>
        <v>-100</v>
      </c>
      <c r="F549" s="17">
        <v>0</v>
      </c>
      <c r="G549" s="118">
        <f t="shared" ref="G549:G557" si="213">G550</f>
        <v>0</v>
      </c>
      <c r="H549" s="121"/>
      <c r="I549" s="113">
        <f t="shared" ref="I549:J555" si="214">I550</f>
        <v>0</v>
      </c>
      <c r="J549" s="113">
        <f t="shared" si="214"/>
        <v>0</v>
      </c>
      <c r="K549" s="129"/>
    </row>
    <row r="550" spans="1:20" s="47" customFormat="1" ht="15" customHeight="1">
      <c r="A550" s="28" t="s">
        <v>203</v>
      </c>
      <c r="B550" s="15" t="s">
        <v>359</v>
      </c>
      <c r="C550" s="4" t="s">
        <v>44</v>
      </c>
      <c r="D550" s="17">
        <v>580</v>
      </c>
      <c r="E550" s="13">
        <f t="shared" si="198"/>
        <v>174</v>
      </c>
      <c r="F550" s="17">
        <v>754</v>
      </c>
      <c r="G550" s="118">
        <f>G553</f>
        <v>0</v>
      </c>
      <c r="H550" s="121"/>
      <c r="I550" s="113">
        <f t="shared" si="214"/>
        <v>0</v>
      </c>
      <c r="J550" s="113">
        <f t="shared" si="214"/>
        <v>0</v>
      </c>
      <c r="K550" s="129"/>
    </row>
    <row r="551" spans="1:20" s="47" customFormat="1" ht="25.5" customHeight="1">
      <c r="A551" s="28" t="s">
        <v>19</v>
      </c>
      <c r="B551" s="15" t="s">
        <v>359</v>
      </c>
      <c r="C551" s="4">
        <v>244</v>
      </c>
      <c r="D551" s="17">
        <f>534+3</f>
        <v>537</v>
      </c>
      <c r="E551" s="13">
        <f t="shared" si="198"/>
        <v>-367</v>
      </c>
      <c r="F551" s="17">
        <v>170</v>
      </c>
      <c r="G551" s="117">
        <f>G552</f>
        <v>0</v>
      </c>
      <c r="H551" s="121"/>
      <c r="I551" s="108">
        <f t="shared" si="214"/>
        <v>0</v>
      </c>
      <c r="J551" s="108">
        <f t="shared" si="214"/>
        <v>0</v>
      </c>
      <c r="K551" s="129"/>
    </row>
    <row r="552" spans="1:20" s="47" customFormat="1" ht="15" customHeight="1">
      <c r="A552" s="56" t="s">
        <v>453</v>
      </c>
      <c r="B552" s="55" t="s">
        <v>642</v>
      </c>
      <c r="C552" s="15"/>
      <c r="D552" s="17">
        <f>D553</f>
        <v>10.1</v>
      </c>
      <c r="E552" s="13">
        <f t="shared" si="198"/>
        <v>-9.9999999999999645E-2</v>
      </c>
      <c r="F552" s="17">
        <f>F553</f>
        <v>10</v>
      </c>
      <c r="G552" s="117">
        <f>G553</f>
        <v>0</v>
      </c>
      <c r="H552" s="121"/>
      <c r="I552" s="108">
        <f t="shared" si="214"/>
        <v>0</v>
      </c>
      <c r="J552" s="108">
        <f t="shared" si="214"/>
        <v>0</v>
      </c>
      <c r="K552" s="129"/>
    </row>
    <row r="553" spans="1:20" ht="25.5" customHeight="1">
      <c r="A553" s="56" t="s">
        <v>454</v>
      </c>
      <c r="B553" s="55" t="s">
        <v>642</v>
      </c>
      <c r="C553" s="15" t="s">
        <v>455</v>
      </c>
      <c r="D553" s="17">
        <v>10.1</v>
      </c>
      <c r="E553" s="13">
        <f t="shared" si="198"/>
        <v>-9.9999999999999645E-2</v>
      </c>
      <c r="F553" s="17">
        <f>9.9+0.1</f>
        <v>10</v>
      </c>
      <c r="G553" s="117">
        <f>G557</f>
        <v>0</v>
      </c>
      <c r="H553" s="120"/>
      <c r="I553" s="108">
        <f t="shared" si="214"/>
        <v>0</v>
      </c>
      <c r="J553" s="108">
        <f t="shared" si="214"/>
        <v>0</v>
      </c>
      <c r="K553" s="129"/>
    </row>
    <row r="554" spans="1:20" ht="15.75" customHeight="1">
      <c r="A554" s="28" t="s">
        <v>603</v>
      </c>
      <c r="B554" s="15" t="s">
        <v>370</v>
      </c>
      <c r="C554" s="7"/>
      <c r="D554" s="17">
        <f>D555+D557+D559</f>
        <v>20</v>
      </c>
      <c r="E554" s="13">
        <f t="shared" si="198"/>
        <v>-20</v>
      </c>
      <c r="F554" s="17">
        <v>0</v>
      </c>
      <c r="G554" s="117"/>
      <c r="H554" s="120"/>
      <c r="I554" s="108">
        <f t="shared" si="214"/>
        <v>0</v>
      </c>
      <c r="J554" s="108">
        <f t="shared" si="214"/>
        <v>0</v>
      </c>
      <c r="K554" s="129"/>
    </row>
    <row r="555" spans="1:20" ht="39" customHeight="1">
      <c r="A555" s="33" t="s">
        <v>223</v>
      </c>
      <c r="B555" s="22" t="s">
        <v>371</v>
      </c>
      <c r="C555" s="15"/>
      <c r="D555" s="17">
        <f>D556</f>
        <v>10</v>
      </c>
      <c r="E555" s="13">
        <f t="shared" si="198"/>
        <v>-10</v>
      </c>
      <c r="F555" s="17">
        <v>0</v>
      </c>
      <c r="G555" s="117"/>
      <c r="H555" s="120"/>
      <c r="I555" s="108">
        <f t="shared" si="214"/>
        <v>0</v>
      </c>
      <c r="J555" s="108">
        <f t="shared" si="214"/>
        <v>0</v>
      </c>
      <c r="K555" s="129"/>
    </row>
    <row r="556" spans="1:20" ht="39" customHeight="1">
      <c r="A556" s="28" t="s">
        <v>19</v>
      </c>
      <c r="B556" s="22" t="s">
        <v>371</v>
      </c>
      <c r="C556" s="15" t="s">
        <v>20</v>
      </c>
      <c r="D556" s="17">
        <v>10</v>
      </c>
      <c r="E556" s="13">
        <f t="shared" si="198"/>
        <v>-10</v>
      </c>
      <c r="F556" s="17">
        <v>0</v>
      </c>
      <c r="G556" s="117"/>
      <c r="H556" s="120"/>
      <c r="I556" s="107">
        <v>0</v>
      </c>
      <c r="J556" s="107">
        <v>0</v>
      </c>
      <c r="K556" s="129" t="s">
        <v>524</v>
      </c>
      <c r="L556" s="1">
        <f>29440.7/99</f>
        <v>297.38080808080809</v>
      </c>
      <c r="M556" s="1">
        <f>I556/99</f>
        <v>0</v>
      </c>
      <c r="N556" s="1">
        <f>J556/99</f>
        <v>0</v>
      </c>
    </row>
    <row r="557" spans="1:20" ht="15" customHeight="1">
      <c r="A557" s="33" t="s">
        <v>576</v>
      </c>
      <c r="B557" s="22" t="s">
        <v>372</v>
      </c>
      <c r="C557" s="15"/>
      <c r="D557" s="17">
        <f>D558</f>
        <v>10</v>
      </c>
      <c r="E557" s="13">
        <f t="shared" si="198"/>
        <v>-10</v>
      </c>
      <c r="F557" s="17">
        <v>0</v>
      </c>
      <c r="G557" s="115">
        <f t="shared" si="213"/>
        <v>0</v>
      </c>
      <c r="H557" s="120"/>
      <c r="I557" s="124"/>
      <c r="J557" s="124"/>
      <c r="K557" s="129"/>
    </row>
    <row r="558" spans="1:20" ht="33" customHeight="1">
      <c r="A558" s="28" t="s">
        <v>19</v>
      </c>
      <c r="B558" s="22" t="s">
        <v>372</v>
      </c>
      <c r="C558" s="15" t="s">
        <v>20</v>
      </c>
      <c r="D558" s="17">
        <v>10</v>
      </c>
      <c r="E558" s="13">
        <f t="shared" si="198"/>
        <v>-10</v>
      </c>
      <c r="F558" s="17">
        <v>0</v>
      </c>
      <c r="G558" s="115">
        <f>G559</f>
        <v>0</v>
      </c>
      <c r="H558" s="120"/>
      <c r="I558" s="124"/>
      <c r="J558" s="124"/>
      <c r="K558" s="129"/>
    </row>
    <row r="559" spans="1:20" ht="20.25" hidden="1" customHeight="1">
      <c r="A559" s="32" t="s">
        <v>413</v>
      </c>
      <c r="B559" s="15" t="s">
        <v>414</v>
      </c>
      <c r="C559" s="11"/>
      <c r="D559" s="17">
        <f>D560</f>
        <v>0</v>
      </c>
      <c r="E559" s="13">
        <f t="shared" si="198"/>
        <v>13816.900000000001</v>
      </c>
      <c r="F559" s="17">
        <f t="shared" ref="F559:F566" si="215">F560</f>
        <v>13816.900000000001</v>
      </c>
      <c r="G559" s="115"/>
      <c r="H559" s="120"/>
      <c r="I559" s="124"/>
      <c r="J559" s="124"/>
      <c r="K559" s="129"/>
    </row>
    <row r="560" spans="1:20" s="47" customFormat="1" ht="25.5" hidden="1" customHeight="1">
      <c r="A560" s="32" t="s">
        <v>413</v>
      </c>
      <c r="B560" s="15" t="s">
        <v>414</v>
      </c>
      <c r="C560" s="54"/>
      <c r="D560" s="17">
        <f>D561</f>
        <v>0</v>
      </c>
      <c r="E560" s="13">
        <f t="shared" si="198"/>
        <v>13816.900000000001</v>
      </c>
      <c r="F560" s="17">
        <f t="shared" si="215"/>
        <v>13816.900000000001</v>
      </c>
      <c r="G560" s="21">
        <f>G561</f>
        <v>8089.2800000000007</v>
      </c>
      <c r="H560" s="121"/>
      <c r="I560" s="113">
        <f t="shared" ref="I560:J561" si="216">I561</f>
        <v>7750.1399999999994</v>
      </c>
      <c r="J560" s="113">
        <f t="shared" si="216"/>
        <v>7908.7900000000009</v>
      </c>
      <c r="K560" s="129"/>
      <c r="P560" s="155">
        <f>F567+F568+F569+F570+F571+F576+F577+F578+F582+F583+F584+F589+F590</f>
        <v>50031.26</v>
      </c>
      <c r="S560" s="155">
        <f t="shared" ref="S560:T560" si="217">I567+I568+I569+I570+I571+I576+I577+I578+I582+I583+I584+I589+I590</f>
        <v>7750.1399999999994</v>
      </c>
      <c r="T560" s="155">
        <f t="shared" si="217"/>
        <v>7908.7900000000009</v>
      </c>
    </row>
    <row r="561" spans="1:11" s="47" customFormat="1" ht="15" hidden="1" customHeight="1">
      <c r="A561" s="32" t="s">
        <v>413</v>
      </c>
      <c r="B561" s="15" t="s">
        <v>414</v>
      </c>
      <c r="C561" s="4"/>
      <c r="D561" s="17">
        <f>D562</f>
        <v>0</v>
      </c>
      <c r="E561" s="13">
        <f t="shared" si="198"/>
        <v>13816.900000000001</v>
      </c>
      <c r="F561" s="17">
        <f t="shared" si="215"/>
        <v>13816.900000000001</v>
      </c>
      <c r="G561" s="21">
        <f>G562</f>
        <v>8089.2800000000007</v>
      </c>
      <c r="H561" s="121"/>
      <c r="I561" s="113">
        <f t="shared" si="216"/>
        <v>7750.1399999999994</v>
      </c>
      <c r="J561" s="113">
        <f t="shared" si="216"/>
        <v>7908.7900000000009</v>
      </c>
      <c r="K561" s="129"/>
    </row>
    <row r="562" spans="1:11" s="47" customFormat="1" ht="22.5" hidden="1" customHeight="1">
      <c r="A562" s="32" t="s">
        <v>413</v>
      </c>
      <c r="B562" s="15" t="s">
        <v>414</v>
      </c>
      <c r="C562" s="4"/>
      <c r="D562" s="17">
        <f>D563</f>
        <v>0</v>
      </c>
      <c r="E562" s="13">
        <f t="shared" si="198"/>
        <v>13816.900000000001</v>
      </c>
      <c r="F562" s="17">
        <f t="shared" si="215"/>
        <v>13816.900000000001</v>
      </c>
      <c r="G562" s="21">
        <f>G592+G596+G600</f>
        <v>8089.2800000000007</v>
      </c>
      <c r="H562" s="121"/>
      <c r="I562" s="113">
        <f t="shared" ref="I562:J562" si="218">I563+I572</f>
        <v>7750.1399999999994</v>
      </c>
      <c r="J562" s="113">
        <f t="shared" si="218"/>
        <v>7908.7900000000009</v>
      </c>
      <c r="K562" s="129"/>
    </row>
    <row r="563" spans="1:11" s="47" customFormat="1" ht="27.75" hidden="1" customHeight="1">
      <c r="A563" s="32" t="s">
        <v>413</v>
      </c>
      <c r="B563" s="15" t="s">
        <v>414</v>
      </c>
      <c r="C563" s="4"/>
      <c r="D563" s="17"/>
      <c r="E563" s="13">
        <f t="shared" si="198"/>
        <v>13816.900000000001</v>
      </c>
      <c r="F563" s="17">
        <f t="shared" si="215"/>
        <v>13816.900000000001</v>
      </c>
      <c r="G563" s="21"/>
      <c r="H563" s="121"/>
      <c r="I563" s="108">
        <f t="shared" ref="I563:J565" si="219">I564</f>
        <v>3738.52</v>
      </c>
      <c r="J563" s="108">
        <f t="shared" si="219"/>
        <v>3897.1700000000005</v>
      </c>
      <c r="K563" s="129"/>
    </row>
    <row r="564" spans="1:11" s="47" customFormat="1" ht="25.5" customHeight="1">
      <c r="A564" s="32" t="s">
        <v>413</v>
      </c>
      <c r="B564" s="15" t="s">
        <v>414</v>
      </c>
      <c r="C564" s="54"/>
      <c r="D564" s="17">
        <f>D565</f>
        <v>12367.98</v>
      </c>
      <c r="E564" s="13">
        <f t="shared" si="198"/>
        <v>1448.9200000000019</v>
      </c>
      <c r="F564" s="17">
        <f t="shared" si="215"/>
        <v>13816.900000000001</v>
      </c>
      <c r="G564" s="21"/>
      <c r="H564" s="121"/>
      <c r="I564" s="108">
        <f t="shared" si="219"/>
        <v>3738.52</v>
      </c>
      <c r="J564" s="108">
        <f t="shared" si="219"/>
        <v>3897.1700000000005</v>
      </c>
      <c r="K564" s="129"/>
    </row>
    <row r="565" spans="1:11" s="47" customFormat="1" ht="35.25" customHeight="1">
      <c r="A565" s="28" t="s">
        <v>415</v>
      </c>
      <c r="B565" s="15" t="s">
        <v>141</v>
      </c>
      <c r="C565" s="15"/>
      <c r="D565" s="17">
        <f>D566</f>
        <v>12367.98</v>
      </c>
      <c r="E565" s="13">
        <f t="shared" si="198"/>
        <v>1448.9200000000019</v>
      </c>
      <c r="F565" s="17">
        <f t="shared" si="215"/>
        <v>13816.900000000001</v>
      </c>
      <c r="G565" s="21"/>
      <c r="H565" s="121"/>
      <c r="I565" s="108">
        <f t="shared" si="219"/>
        <v>3738.52</v>
      </c>
      <c r="J565" s="108">
        <f t="shared" si="219"/>
        <v>3897.1700000000005</v>
      </c>
      <c r="K565" s="129"/>
    </row>
    <row r="566" spans="1:11" s="47" customFormat="1" ht="38.25" customHeight="1">
      <c r="A566" s="28" t="s">
        <v>415</v>
      </c>
      <c r="B566" s="15" t="s">
        <v>141</v>
      </c>
      <c r="C566" s="54"/>
      <c r="D566" s="17">
        <f>D567</f>
        <v>12367.98</v>
      </c>
      <c r="E566" s="13">
        <f t="shared" si="198"/>
        <v>1448.9200000000019</v>
      </c>
      <c r="F566" s="17">
        <f t="shared" si="215"/>
        <v>13816.900000000001</v>
      </c>
      <c r="G566" s="21"/>
      <c r="H566" s="121"/>
      <c r="I566" s="108">
        <f t="shared" ref="I566:J566" si="220">SUM(I567:I571)</f>
        <v>3738.52</v>
      </c>
      <c r="J566" s="108">
        <f t="shared" si="220"/>
        <v>3897.1700000000005</v>
      </c>
      <c r="K566" s="129"/>
    </row>
    <row r="567" spans="1:11" s="47" customFormat="1" ht="30" customHeight="1">
      <c r="A567" s="28" t="s">
        <v>142</v>
      </c>
      <c r="B567" s="15" t="s">
        <v>143</v>
      </c>
      <c r="C567" s="15"/>
      <c r="D567" s="17">
        <f>D578+D581+D588</f>
        <v>12367.98</v>
      </c>
      <c r="E567" s="13">
        <f t="shared" si="198"/>
        <v>1448.9200000000019</v>
      </c>
      <c r="F567" s="17">
        <f>F568+F576</f>
        <v>13816.900000000001</v>
      </c>
      <c r="G567" s="17"/>
      <c r="H567" s="120"/>
      <c r="I567" s="107">
        <f t="shared" ref="I567:J567" si="221">2748.81-334.53</f>
        <v>2414.2799999999997</v>
      </c>
      <c r="J567" s="107">
        <f t="shared" si="221"/>
        <v>2414.2799999999997</v>
      </c>
      <c r="K567" s="129"/>
    </row>
    <row r="568" spans="1:11" s="47" customFormat="1" ht="38.25" customHeight="1">
      <c r="A568" s="28" t="s">
        <v>550</v>
      </c>
      <c r="B568" s="15" t="s">
        <v>549</v>
      </c>
      <c r="C568" s="15"/>
      <c r="D568" s="17"/>
      <c r="E568" s="13">
        <f t="shared" si="198"/>
        <v>12978.400000000001</v>
      </c>
      <c r="F568" s="17">
        <f>SUM(F569:F575)</f>
        <v>12978.400000000001</v>
      </c>
      <c r="G568" s="17"/>
      <c r="H568" s="120"/>
      <c r="I568" s="107">
        <f>588</f>
        <v>588</v>
      </c>
      <c r="J568" s="107">
        <f>588</f>
        <v>588</v>
      </c>
      <c r="K568" s="129"/>
    </row>
    <row r="569" spans="1:11" s="47" customFormat="1" ht="23.25" customHeight="1">
      <c r="A569" s="28" t="s">
        <v>10</v>
      </c>
      <c r="B569" s="15" t="s">
        <v>549</v>
      </c>
      <c r="C569" s="15" t="s">
        <v>11</v>
      </c>
      <c r="D569" s="17"/>
      <c r="E569" s="13">
        <f t="shared" si="198"/>
        <v>9067.86</v>
      </c>
      <c r="F569" s="17">
        <f>15934.15-6866.29</f>
        <v>9067.86</v>
      </c>
      <c r="G569" s="17"/>
      <c r="H569" s="120"/>
      <c r="I569" s="107">
        <f t="shared" ref="I569:J569" si="222">830.14-101.03</f>
        <v>729.11</v>
      </c>
      <c r="J569" s="107">
        <f t="shared" si="222"/>
        <v>729.11</v>
      </c>
      <c r="K569" s="129"/>
    </row>
    <row r="570" spans="1:11" s="47" customFormat="1" ht="30" customHeight="1">
      <c r="A570" s="32" t="s">
        <v>15</v>
      </c>
      <c r="B570" s="15" t="s">
        <v>549</v>
      </c>
      <c r="C570" s="15" t="s">
        <v>16</v>
      </c>
      <c r="D570" s="17"/>
      <c r="E570" s="13">
        <f t="shared" si="198"/>
        <v>250.76</v>
      </c>
      <c r="F570" s="17">
        <v>250.76</v>
      </c>
      <c r="G570" s="17"/>
      <c r="H570" s="120"/>
      <c r="I570" s="107"/>
      <c r="J570" s="107">
        <f t="shared" ref="J570" si="223">4316.51-4166.95-7.13+8.11+8.11</f>
        <v>158.65000000000043</v>
      </c>
      <c r="K570" s="129"/>
    </row>
    <row r="571" spans="1:11" s="47" customFormat="1" ht="29.25" customHeight="1">
      <c r="A571" s="28" t="s">
        <v>12</v>
      </c>
      <c r="B571" s="15" t="s">
        <v>549</v>
      </c>
      <c r="C571" s="15" t="s">
        <v>13</v>
      </c>
      <c r="D571" s="17"/>
      <c r="E571" s="13">
        <f t="shared" si="198"/>
        <v>2738.49</v>
      </c>
      <c r="F571" s="17">
        <f>4812.11-2073.62</f>
        <v>2738.49</v>
      </c>
      <c r="G571" s="17"/>
      <c r="H571" s="120"/>
      <c r="I571" s="107">
        <v>7.13</v>
      </c>
      <c r="J571" s="107">
        <v>7.13</v>
      </c>
      <c r="K571" s="129"/>
    </row>
    <row r="572" spans="1:11" ht="17.25" customHeight="1">
      <c r="A572" s="28" t="s">
        <v>19</v>
      </c>
      <c r="B572" s="15" t="s">
        <v>549</v>
      </c>
      <c r="C572" s="15" t="s">
        <v>20</v>
      </c>
      <c r="D572" s="17"/>
      <c r="E572" s="13">
        <f t="shared" si="198"/>
        <v>562.2600000000009</v>
      </c>
      <c r="F572" s="17">
        <f>22756.81-9067.86-250.76-2738.49-6866.29-2073.62-359.03-838.5</f>
        <v>562.2600000000009</v>
      </c>
      <c r="G572" s="17">
        <f>G591</f>
        <v>8089.2800000000007</v>
      </c>
      <c r="H572" s="120"/>
      <c r="I572" s="108">
        <f t="shared" ref="I572:J572" si="224">I573+I579</f>
        <v>4011.62</v>
      </c>
      <c r="J572" s="108">
        <f t="shared" si="224"/>
        <v>4011.62</v>
      </c>
      <c r="K572" s="129"/>
    </row>
    <row r="573" spans="1:11" ht="28.5" customHeight="1">
      <c r="A573" s="28" t="s">
        <v>148</v>
      </c>
      <c r="B573" s="15" t="s">
        <v>549</v>
      </c>
      <c r="C573" s="15" t="s">
        <v>149</v>
      </c>
      <c r="D573" s="17"/>
      <c r="E573" s="13">
        <f t="shared" si="198"/>
        <v>0</v>
      </c>
      <c r="F573" s="17">
        <v>0</v>
      </c>
      <c r="G573" s="17"/>
      <c r="H573" s="120"/>
      <c r="I573" s="108">
        <f t="shared" ref="I573:J574" si="225">I574</f>
        <v>2496.31</v>
      </c>
      <c r="J573" s="108">
        <f t="shared" si="225"/>
        <v>2496.31</v>
      </c>
      <c r="K573" s="129"/>
    </row>
    <row r="574" spans="1:11" ht="29.25" customHeight="1">
      <c r="A574" s="28" t="s">
        <v>30</v>
      </c>
      <c r="B574" s="15" t="s">
        <v>549</v>
      </c>
      <c r="C574" s="15" t="s">
        <v>31</v>
      </c>
      <c r="D574" s="17"/>
      <c r="E574" s="13">
        <f t="shared" ref="E574:E616" si="226">F574-D574</f>
        <v>0</v>
      </c>
      <c r="F574" s="17">
        <v>0</v>
      </c>
      <c r="G574" s="17"/>
      <c r="H574" s="120"/>
      <c r="I574" s="108">
        <f t="shared" si="225"/>
        <v>2496.31</v>
      </c>
      <c r="J574" s="108">
        <f t="shared" si="225"/>
        <v>2496.31</v>
      </c>
      <c r="K574" s="129"/>
    </row>
    <row r="575" spans="1:11" ht="23.25" customHeight="1">
      <c r="A575" s="28" t="s">
        <v>32</v>
      </c>
      <c r="B575" s="15" t="s">
        <v>549</v>
      </c>
      <c r="C575" s="15" t="s">
        <v>33</v>
      </c>
      <c r="D575" s="17"/>
      <c r="E575" s="13">
        <f t="shared" si="226"/>
        <v>359.03</v>
      </c>
      <c r="F575" s="17">
        <v>359.03</v>
      </c>
      <c r="G575" s="17"/>
      <c r="H575" s="120"/>
      <c r="I575" s="108">
        <f t="shared" ref="I575:J575" si="227">I576+I577+I578</f>
        <v>2496.31</v>
      </c>
      <c r="J575" s="108">
        <f t="shared" si="227"/>
        <v>2496.31</v>
      </c>
      <c r="K575" s="129"/>
    </row>
    <row r="576" spans="1:11" ht="27.75" customHeight="1">
      <c r="A576" s="14" t="s">
        <v>429</v>
      </c>
      <c r="B576" s="15" t="s">
        <v>497</v>
      </c>
      <c r="C576" s="15"/>
      <c r="D576" s="17"/>
      <c r="E576" s="13">
        <f t="shared" si="226"/>
        <v>838.5</v>
      </c>
      <c r="F576" s="17">
        <f>F577</f>
        <v>838.5</v>
      </c>
      <c r="G576" s="17"/>
      <c r="H576" s="120"/>
      <c r="I576" s="107">
        <v>1891.48</v>
      </c>
      <c r="J576" s="107">
        <v>1891.48</v>
      </c>
      <c r="K576" s="129"/>
    </row>
    <row r="577" spans="1:11" ht="30.75" customHeight="1">
      <c r="A577" s="28" t="s">
        <v>19</v>
      </c>
      <c r="B577" s="15" t="s">
        <v>497</v>
      </c>
      <c r="C577" s="15" t="s">
        <v>20</v>
      </c>
      <c r="D577" s="17"/>
      <c r="E577" s="13">
        <f t="shared" si="226"/>
        <v>838.5</v>
      </c>
      <c r="F577" s="17">
        <v>838.5</v>
      </c>
      <c r="G577" s="17"/>
      <c r="H577" s="120"/>
      <c r="I577" s="107">
        <v>33.6</v>
      </c>
      <c r="J577" s="107">
        <v>33.6</v>
      </c>
      <c r="K577" s="129"/>
    </row>
    <row r="578" spans="1:11" ht="33" customHeight="1">
      <c r="A578" s="28" t="s">
        <v>144</v>
      </c>
      <c r="B578" s="15" t="s">
        <v>145</v>
      </c>
      <c r="C578" s="4"/>
      <c r="D578" s="17">
        <f>SUBTOTAL(9,D579:D580)</f>
        <v>6498.9999999999991</v>
      </c>
      <c r="E578" s="13">
        <f t="shared" si="226"/>
        <v>-6498.9999999999991</v>
      </c>
      <c r="F578" s="17">
        <v>0</v>
      </c>
      <c r="G578" s="17"/>
      <c r="H578" s="120"/>
      <c r="I578" s="107">
        <v>571.23</v>
      </c>
      <c r="J578" s="107">
        <v>571.23</v>
      </c>
      <c r="K578" s="129"/>
    </row>
    <row r="579" spans="1:11" ht="19.5" customHeight="1">
      <c r="A579" s="28" t="s">
        <v>10</v>
      </c>
      <c r="B579" s="15" t="s">
        <v>145</v>
      </c>
      <c r="C579" s="15" t="s">
        <v>11</v>
      </c>
      <c r="D579" s="17">
        <f>15567.9-4078.3-6912.5+565.3</f>
        <v>5142.3999999999987</v>
      </c>
      <c r="E579" s="12">
        <f t="shared" si="226"/>
        <v>-5142.3999999999987</v>
      </c>
      <c r="F579" s="17">
        <v>0</v>
      </c>
      <c r="G579" s="17"/>
      <c r="H579" s="120"/>
      <c r="I579" s="108">
        <f t="shared" ref="I579:J580" si="228">I580</f>
        <v>1515.31</v>
      </c>
      <c r="J579" s="108">
        <f t="shared" si="228"/>
        <v>1515.31</v>
      </c>
      <c r="K579" s="129"/>
    </row>
    <row r="580" spans="1:11" ht="25.5" customHeight="1">
      <c r="A580" s="28" t="s">
        <v>12</v>
      </c>
      <c r="B580" s="15" t="s">
        <v>145</v>
      </c>
      <c r="C580" s="15" t="s">
        <v>13</v>
      </c>
      <c r="D580" s="17">
        <f>4505.1-1231.7-2087.5+170.7</f>
        <v>1356.6000000000006</v>
      </c>
      <c r="E580" s="12">
        <f t="shared" si="226"/>
        <v>-1356.6000000000006</v>
      </c>
      <c r="F580" s="17">
        <v>0</v>
      </c>
      <c r="G580" s="17"/>
      <c r="H580" s="120"/>
      <c r="I580" s="108">
        <f t="shared" si="228"/>
        <v>1515.31</v>
      </c>
      <c r="J580" s="108">
        <f t="shared" si="228"/>
        <v>1515.31</v>
      </c>
      <c r="K580" s="129"/>
    </row>
    <row r="581" spans="1:11" ht="25.5" customHeight="1">
      <c r="A581" s="28" t="s">
        <v>146</v>
      </c>
      <c r="B581" s="15" t="s">
        <v>147</v>
      </c>
      <c r="C581" s="4"/>
      <c r="D581" s="17">
        <f>SUBTOTAL(9,D582:D587)</f>
        <v>5029.4799999999996</v>
      </c>
      <c r="E581" s="13">
        <f t="shared" si="226"/>
        <v>-5029.4799999999996</v>
      </c>
      <c r="F581" s="17">
        <v>0</v>
      </c>
      <c r="G581" s="17"/>
      <c r="H581" s="120"/>
      <c r="I581" s="108">
        <f t="shared" ref="I581:J581" si="229">I582+I583+I584</f>
        <v>1515.31</v>
      </c>
      <c r="J581" s="108">
        <f t="shared" si="229"/>
        <v>1515.31</v>
      </c>
      <c r="K581" s="129"/>
    </row>
    <row r="582" spans="1:11" ht="27.75" customHeight="1">
      <c r="A582" s="32" t="s">
        <v>15</v>
      </c>
      <c r="B582" s="15" t="s">
        <v>147</v>
      </c>
      <c r="C582" s="15" t="s">
        <v>16</v>
      </c>
      <c r="D582" s="17"/>
      <c r="E582" s="13">
        <f t="shared" si="226"/>
        <v>0</v>
      </c>
      <c r="F582" s="17">
        <v>0</v>
      </c>
      <c r="G582" s="17"/>
      <c r="H582" s="120"/>
      <c r="I582" s="107">
        <v>1155.23</v>
      </c>
      <c r="J582" s="107">
        <v>1155.23</v>
      </c>
      <c r="K582" s="129"/>
    </row>
    <row r="583" spans="1:11" ht="39.75" customHeight="1">
      <c r="A583" s="28" t="s">
        <v>19</v>
      </c>
      <c r="B583" s="15" t="s">
        <v>147</v>
      </c>
      <c r="C583" s="4">
        <v>244</v>
      </c>
      <c r="D583" s="17">
        <f>32.62+255.6+112.5+475+3560.36</f>
        <v>4436.08</v>
      </c>
      <c r="E583" s="13">
        <f t="shared" si="226"/>
        <v>-4436.08</v>
      </c>
      <c r="F583" s="17">
        <v>0</v>
      </c>
      <c r="G583" s="17"/>
      <c r="H583" s="120"/>
      <c r="I583" s="107">
        <v>11.2</v>
      </c>
      <c r="J583" s="107">
        <v>11.2</v>
      </c>
      <c r="K583" s="129"/>
    </row>
    <row r="584" spans="1:11" ht="39.75" customHeight="1">
      <c r="A584" s="28" t="s">
        <v>148</v>
      </c>
      <c r="B584" s="15" t="s">
        <v>147</v>
      </c>
      <c r="C584" s="4" t="s">
        <v>149</v>
      </c>
      <c r="D584" s="17">
        <v>176.4</v>
      </c>
      <c r="E584" s="13">
        <f t="shared" si="226"/>
        <v>-176.4</v>
      </c>
      <c r="F584" s="17">
        <v>0</v>
      </c>
      <c r="G584" s="17"/>
      <c r="H584" s="120"/>
      <c r="I584" s="107">
        <v>348.88</v>
      </c>
      <c r="J584" s="107">
        <v>348.88</v>
      </c>
      <c r="K584" s="129"/>
    </row>
    <row r="585" spans="1:11" ht="27.75" customHeight="1">
      <c r="A585" s="28" t="s">
        <v>30</v>
      </c>
      <c r="B585" s="15" t="s">
        <v>147</v>
      </c>
      <c r="C585" s="4" t="s">
        <v>31</v>
      </c>
      <c r="D585" s="17">
        <f>288.5</f>
        <v>288.5</v>
      </c>
      <c r="E585" s="13">
        <f t="shared" si="226"/>
        <v>-288.5</v>
      </c>
      <c r="F585" s="17">
        <v>0</v>
      </c>
      <c r="G585" s="17"/>
      <c r="H585" s="120"/>
      <c r="I585" s="108">
        <f t="shared" ref="I585:J587" si="230">I586</f>
        <v>0</v>
      </c>
      <c r="J585" s="108">
        <f t="shared" si="230"/>
        <v>0</v>
      </c>
      <c r="K585" s="129"/>
    </row>
    <row r="586" spans="1:11" ht="25.5" customHeight="1">
      <c r="A586" s="28" t="s">
        <v>32</v>
      </c>
      <c r="B586" s="15" t="s">
        <v>147</v>
      </c>
      <c r="C586" s="4" t="s">
        <v>33</v>
      </c>
      <c r="D586" s="17">
        <v>80.7</v>
      </c>
      <c r="E586" s="13">
        <f t="shared" si="226"/>
        <v>-80.7</v>
      </c>
      <c r="F586" s="17">
        <v>0</v>
      </c>
      <c r="G586" s="17"/>
      <c r="H586" s="120"/>
      <c r="I586" s="108">
        <f t="shared" si="230"/>
        <v>0</v>
      </c>
      <c r="J586" s="108">
        <f t="shared" si="230"/>
        <v>0</v>
      </c>
      <c r="K586" s="129"/>
    </row>
    <row r="587" spans="1:11" ht="30" customHeight="1">
      <c r="A587" s="28" t="s">
        <v>21</v>
      </c>
      <c r="B587" s="15" t="s">
        <v>147</v>
      </c>
      <c r="C587" s="4" t="s">
        <v>22</v>
      </c>
      <c r="D587" s="17">
        <f>47.8</f>
        <v>47.8</v>
      </c>
      <c r="E587" s="13">
        <f t="shared" si="226"/>
        <v>-47.8</v>
      </c>
      <c r="F587" s="17">
        <v>0</v>
      </c>
      <c r="G587" s="17"/>
      <c r="H587" s="120"/>
      <c r="I587" s="108">
        <f t="shared" si="230"/>
        <v>0</v>
      </c>
      <c r="J587" s="108">
        <f t="shared" si="230"/>
        <v>0</v>
      </c>
      <c r="K587" s="129"/>
    </row>
    <row r="588" spans="1:11" ht="39.75" customHeight="1">
      <c r="A588" s="14" t="s">
        <v>429</v>
      </c>
      <c r="B588" s="15" t="s">
        <v>428</v>
      </c>
      <c r="C588" s="4"/>
      <c r="D588" s="17">
        <f>D589</f>
        <v>839.5</v>
      </c>
      <c r="E588" s="13">
        <f t="shared" si="226"/>
        <v>-839.5</v>
      </c>
      <c r="F588" s="17">
        <v>0</v>
      </c>
      <c r="G588" s="17"/>
      <c r="H588" s="120"/>
      <c r="I588" s="108">
        <f t="shared" ref="I588:J588" si="231">I589+I590</f>
        <v>0</v>
      </c>
      <c r="J588" s="108">
        <f t="shared" si="231"/>
        <v>0</v>
      </c>
      <c r="K588" s="129"/>
    </row>
    <row r="589" spans="1:11" ht="27" customHeight="1">
      <c r="A589" s="14" t="s">
        <v>19</v>
      </c>
      <c r="B589" s="15" t="s">
        <v>428</v>
      </c>
      <c r="C589" s="4" t="s">
        <v>20</v>
      </c>
      <c r="D589" s="17">
        <f>814+25.5</f>
        <v>839.5</v>
      </c>
      <c r="E589" s="13">
        <f t="shared" si="226"/>
        <v>-839.5</v>
      </c>
      <c r="F589" s="17">
        <v>0</v>
      </c>
      <c r="G589" s="17"/>
      <c r="H589" s="120"/>
      <c r="I589" s="107"/>
      <c r="J589" s="107"/>
      <c r="K589" s="132" t="s">
        <v>524</v>
      </c>
    </row>
    <row r="590" spans="1:11" ht="22.5" customHeight="1">
      <c r="A590" s="28" t="s">
        <v>150</v>
      </c>
      <c r="B590" s="16" t="s">
        <v>151</v>
      </c>
      <c r="C590" s="4"/>
      <c r="D590" s="17">
        <f>D591+D592</f>
        <v>10366.1</v>
      </c>
      <c r="E590" s="13">
        <f t="shared" si="226"/>
        <v>-864.25</v>
      </c>
      <c r="F590" s="17">
        <f>F591+F592</f>
        <v>9501.85</v>
      </c>
      <c r="G590" s="17"/>
      <c r="H590" s="120"/>
      <c r="I590" s="107"/>
      <c r="J590" s="107"/>
      <c r="K590" s="132" t="s">
        <v>524</v>
      </c>
    </row>
    <row r="591" spans="1:11" ht="33" customHeight="1">
      <c r="A591" s="28" t="s">
        <v>139</v>
      </c>
      <c r="B591" s="16" t="s">
        <v>151</v>
      </c>
      <c r="C591" s="4" t="s">
        <v>140</v>
      </c>
      <c r="D591" s="17">
        <f>4015+148</f>
        <v>4163</v>
      </c>
      <c r="E591" s="13">
        <f t="shared" si="226"/>
        <v>5338.85</v>
      </c>
      <c r="F591" s="17">
        <v>9501.85</v>
      </c>
      <c r="G591" s="115">
        <f>+G596+G600+G592</f>
        <v>8089.2800000000007</v>
      </c>
      <c r="H591" s="120"/>
      <c r="I591" s="124"/>
      <c r="J591" s="124"/>
      <c r="K591" s="129"/>
    </row>
    <row r="592" spans="1:11" ht="25.5" customHeight="1">
      <c r="A592" s="28" t="s">
        <v>19</v>
      </c>
      <c r="B592" s="16" t="s">
        <v>151</v>
      </c>
      <c r="C592" s="4" t="s">
        <v>20</v>
      </c>
      <c r="D592" s="17">
        <f>6055.1+148</f>
        <v>6203.1</v>
      </c>
      <c r="E592" s="13">
        <f t="shared" si="226"/>
        <v>-6203.1</v>
      </c>
      <c r="F592" s="17">
        <v>0</v>
      </c>
      <c r="G592" s="115">
        <f>SUBTOTAL(9,G593:G595)</f>
        <v>2361.44</v>
      </c>
      <c r="H592" s="144"/>
      <c r="I592" s="145"/>
      <c r="J592" s="145"/>
      <c r="K592" s="129"/>
    </row>
    <row r="593" spans="1:11" ht="27.75" customHeight="1">
      <c r="A593" s="28" t="s">
        <v>162</v>
      </c>
      <c r="B593" s="15" t="s">
        <v>163</v>
      </c>
      <c r="C593" s="4"/>
      <c r="D593" s="17">
        <f>D598+D596+D594+D600</f>
        <v>15470.279999999999</v>
      </c>
      <c r="E593" s="13">
        <f t="shared" si="226"/>
        <v>2611.9400000000023</v>
      </c>
      <c r="F593" s="17">
        <f>F594+F598+F600</f>
        <v>18082.22</v>
      </c>
      <c r="G593" s="115">
        <v>1813.7</v>
      </c>
      <c r="H593" s="144"/>
      <c r="I593" s="145"/>
      <c r="J593" s="145"/>
      <c r="K593" s="129"/>
    </row>
    <row r="594" spans="1:11" ht="22.5" customHeight="1">
      <c r="A594" s="28" t="s">
        <v>162</v>
      </c>
      <c r="B594" s="15" t="s">
        <v>163</v>
      </c>
      <c r="C594" s="15"/>
      <c r="D594" s="17">
        <f>D595+D616</f>
        <v>15470.279999999999</v>
      </c>
      <c r="E594" s="13">
        <f t="shared" si="226"/>
        <v>977.47000000000116</v>
      </c>
      <c r="F594" s="17">
        <f>F595</f>
        <v>16447.75</v>
      </c>
      <c r="G594" s="115"/>
      <c r="H594" s="144"/>
      <c r="I594" s="145"/>
      <c r="J594" s="145"/>
      <c r="K594" s="129"/>
    </row>
    <row r="595" spans="1:11" ht="32.25" customHeight="1">
      <c r="A595" s="28" t="s">
        <v>164</v>
      </c>
      <c r="B595" s="15" t="s">
        <v>165</v>
      </c>
      <c r="C595" s="15"/>
      <c r="D595" s="17">
        <f>D605+D608+D614</f>
        <v>15470.279999999999</v>
      </c>
      <c r="E595" s="13">
        <f t="shared" si="226"/>
        <v>977.47000000000116</v>
      </c>
      <c r="F595" s="17">
        <f>F596+F603</f>
        <v>16447.75</v>
      </c>
      <c r="G595" s="115">
        <v>547.74</v>
      </c>
      <c r="H595" s="144"/>
      <c r="I595" s="145"/>
      <c r="J595" s="145"/>
      <c r="K595" s="129"/>
    </row>
    <row r="596" spans="1:11" ht="25.5" customHeight="1">
      <c r="A596" s="28" t="s">
        <v>556</v>
      </c>
      <c r="B596" s="15" t="s">
        <v>555</v>
      </c>
      <c r="C596" s="15"/>
      <c r="D596" s="17"/>
      <c r="E596" s="13">
        <f t="shared" si="226"/>
        <v>13595.640000000001</v>
      </c>
      <c r="F596" s="17">
        <f>SUM(F597:F602)</f>
        <v>13595.640000000001</v>
      </c>
      <c r="G596" s="115">
        <f>SUBTOTAL(9,G597:G599)</f>
        <v>1432.0800000000002</v>
      </c>
      <c r="H596" s="144"/>
      <c r="I596" s="145"/>
      <c r="J596" s="145"/>
      <c r="K596" s="129"/>
    </row>
    <row r="597" spans="1:11" ht="28.5" customHeight="1">
      <c r="A597" s="28" t="s">
        <v>10</v>
      </c>
      <c r="B597" s="15" t="s">
        <v>555</v>
      </c>
      <c r="C597" s="15" t="s">
        <v>11</v>
      </c>
      <c r="D597" s="17"/>
      <c r="E597" s="13">
        <f t="shared" si="226"/>
        <v>9040.5300000000007</v>
      </c>
      <c r="F597" s="17">
        <f>15731.19-6690.66</f>
        <v>9040.5300000000007</v>
      </c>
      <c r="G597" s="115">
        <v>1099.9100000000001</v>
      </c>
      <c r="H597" s="144"/>
      <c r="I597" s="145"/>
      <c r="J597" s="145"/>
      <c r="K597" s="129"/>
    </row>
    <row r="598" spans="1:11" ht="38.25" customHeight="1">
      <c r="A598" s="32" t="s">
        <v>15</v>
      </c>
      <c r="B598" s="15" t="s">
        <v>555</v>
      </c>
      <c r="C598" s="15" t="s">
        <v>16</v>
      </c>
      <c r="D598" s="17"/>
      <c r="E598" s="13">
        <f t="shared" si="226"/>
        <v>250.48</v>
      </c>
      <c r="F598" s="17">
        <v>250.48</v>
      </c>
      <c r="G598" s="115"/>
      <c r="H598" s="144"/>
      <c r="I598" s="145"/>
      <c r="J598" s="145"/>
      <c r="K598" s="129"/>
    </row>
    <row r="599" spans="1:11" ht="39.75" customHeight="1">
      <c r="A599" s="28" t="s">
        <v>12</v>
      </c>
      <c r="B599" s="15" t="s">
        <v>555</v>
      </c>
      <c r="C599" s="15" t="s">
        <v>13</v>
      </c>
      <c r="D599" s="17"/>
      <c r="E599" s="13">
        <f t="shared" si="226"/>
        <v>2730.24</v>
      </c>
      <c r="F599" s="17">
        <f>4750.82-2020.58</f>
        <v>2730.24</v>
      </c>
      <c r="G599" s="115">
        <v>332.17</v>
      </c>
      <c r="H599" s="144"/>
      <c r="I599" s="145"/>
      <c r="J599" s="145"/>
      <c r="K599" s="129"/>
    </row>
    <row r="600" spans="1:11" ht="38.25" customHeight="1">
      <c r="A600" s="28" t="s">
        <v>19</v>
      </c>
      <c r="B600" s="15" t="s">
        <v>555</v>
      </c>
      <c r="C600" s="4" t="s">
        <v>20</v>
      </c>
      <c r="D600" s="17"/>
      <c r="E600" s="13">
        <f t="shared" si="226"/>
        <v>1383.9900000000002</v>
      </c>
      <c r="F600" s="17">
        <f>25159-20732.5-190.4-2661.61-190.5</f>
        <v>1383.9900000000002</v>
      </c>
      <c r="G600" s="115">
        <f>G601+G604</f>
        <v>4295.76</v>
      </c>
      <c r="H600" s="144"/>
      <c r="I600" s="145"/>
      <c r="J600" s="145"/>
      <c r="K600" s="129"/>
    </row>
    <row r="601" spans="1:11" ht="38.25" customHeight="1">
      <c r="A601" s="28" t="s">
        <v>30</v>
      </c>
      <c r="B601" s="15" t="s">
        <v>555</v>
      </c>
      <c r="C601" s="4" t="s">
        <v>31</v>
      </c>
      <c r="D601" s="17"/>
      <c r="E601" s="13">
        <f t="shared" si="226"/>
        <v>186.95000000000002</v>
      </c>
      <c r="F601" s="17">
        <f>190.4-3.45</f>
        <v>186.95000000000002</v>
      </c>
      <c r="G601" s="115">
        <f>SUBTOTAL(9,G602:G603)</f>
        <v>3378.4</v>
      </c>
      <c r="H601" s="144"/>
      <c r="I601" s="145"/>
      <c r="J601" s="145"/>
      <c r="K601" s="129"/>
    </row>
    <row r="602" spans="1:11" ht="25.5" customHeight="1">
      <c r="A602" s="28" t="s">
        <v>32</v>
      </c>
      <c r="B602" s="15" t="s">
        <v>555</v>
      </c>
      <c r="C602" s="4" t="s">
        <v>33</v>
      </c>
      <c r="D602" s="17"/>
      <c r="E602" s="13">
        <f t="shared" si="226"/>
        <v>3.45</v>
      </c>
      <c r="F602" s="17">
        <v>3.45</v>
      </c>
      <c r="G602" s="115">
        <v>2594.8000000000002</v>
      </c>
      <c r="H602" s="144"/>
      <c r="I602" s="145"/>
      <c r="J602" s="145"/>
      <c r="K602" s="129"/>
    </row>
    <row r="603" spans="1:11" ht="36" customHeight="1">
      <c r="A603" s="28" t="s">
        <v>434</v>
      </c>
      <c r="B603" s="15" t="s">
        <v>509</v>
      </c>
      <c r="C603" s="4"/>
      <c r="D603" s="17"/>
      <c r="E603" s="13">
        <f t="shared" si="226"/>
        <v>2852.11</v>
      </c>
      <c r="F603" s="17">
        <f>F604</f>
        <v>2852.11</v>
      </c>
      <c r="G603" s="115">
        <v>783.6</v>
      </c>
      <c r="H603" s="144"/>
      <c r="I603" s="145"/>
      <c r="J603" s="145"/>
      <c r="K603" s="129"/>
    </row>
    <row r="604" spans="1:11" ht="33.75" customHeight="1">
      <c r="A604" s="28" t="s">
        <v>19</v>
      </c>
      <c r="B604" s="15" t="s">
        <v>509</v>
      </c>
      <c r="C604" s="4" t="s">
        <v>20</v>
      </c>
      <c r="D604" s="17"/>
      <c r="E604" s="13">
        <f t="shared" si="226"/>
        <v>2852.11</v>
      </c>
      <c r="F604" s="17">
        <f>2661.61+190.5</f>
        <v>2852.11</v>
      </c>
      <c r="G604" s="115">
        <f>SUBTOTAL(9,G605:G610)</f>
        <v>917.36</v>
      </c>
      <c r="H604" s="144"/>
      <c r="I604" s="145"/>
      <c r="J604" s="145"/>
      <c r="K604" s="129"/>
    </row>
    <row r="605" spans="1:11" ht="38.25" customHeight="1">
      <c r="A605" s="28" t="s">
        <v>166</v>
      </c>
      <c r="B605" s="15" t="s">
        <v>167</v>
      </c>
      <c r="C605" s="4"/>
      <c r="D605" s="17">
        <f>SUBTOTAL(9,D606:D607)</f>
        <v>10318.6</v>
      </c>
      <c r="E605" s="13">
        <f t="shared" si="226"/>
        <v>-10318.6</v>
      </c>
      <c r="F605" s="17">
        <v>0</v>
      </c>
      <c r="G605" s="115"/>
      <c r="H605" s="144"/>
      <c r="I605" s="145"/>
      <c r="J605" s="145"/>
      <c r="K605" s="129"/>
    </row>
    <row r="606" spans="1:11" ht="24.75" customHeight="1">
      <c r="A606" s="28" t="s">
        <v>10</v>
      </c>
      <c r="B606" s="15" t="s">
        <v>167</v>
      </c>
      <c r="C606" s="15" t="s">
        <v>11</v>
      </c>
      <c r="D606" s="17">
        <f>15762.6-845-6992.6</f>
        <v>7925</v>
      </c>
      <c r="E606" s="13">
        <f t="shared" si="226"/>
        <v>-7925</v>
      </c>
      <c r="F606" s="17">
        <v>0</v>
      </c>
      <c r="G606" s="115">
        <v>504</v>
      </c>
      <c r="H606" s="144"/>
      <c r="I606" s="145"/>
      <c r="J606" s="145"/>
      <c r="K606" s="129"/>
    </row>
    <row r="607" spans="1:11" ht="25.5" customHeight="1">
      <c r="A607" s="28" t="s">
        <v>12</v>
      </c>
      <c r="B607" s="15" t="s">
        <v>167</v>
      </c>
      <c r="C607" s="15" t="s">
        <v>13</v>
      </c>
      <c r="D607" s="17">
        <f>4760.3-255-2111.7</f>
        <v>2393.6000000000004</v>
      </c>
      <c r="E607" s="13">
        <f t="shared" si="226"/>
        <v>-2393.6000000000004</v>
      </c>
      <c r="F607" s="17">
        <v>0</v>
      </c>
      <c r="G607" s="115">
        <f>17.76+20+37.9+30+298.2</f>
        <v>403.86</v>
      </c>
      <c r="H607" s="144"/>
      <c r="I607" s="145"/>
      <c r="J607" s="145"/>
      <c r="K607" s="129"/>
    </row>
    <row r="608" spans="1:11" ht="25.5" customHeight="1">
      <c r="A608" s="28" t="s">
        <v>168</v>
      </c>
      <c r="B608" s="15" t="s">
        <v>169</v>
      </c>
      <c r="C608" s="4"/>
      <c r="D608" s="17">
        <f>SUBTOTAL(9,D609:D613)</f>
        <v>1802.8799999999999</v>
      </c>
      <c r="E608" s="13">
        <f t="shared" si="226"/>
        <v>-1802.8799999999999</v>
      </c>
      <c r="F608" s="17">
        <v>0</v>
      </c>
      <c r="G608" s="115"/>
      <c r="H608" s="144"/>
      <c r="I608" s="145"/>
      <c r="J608" s="145"/>
      <c r="K608" s="129"/>
    </row>
    <row r="609" spans="1:20" ht="15" customHeight="1">
      <c r="A609" s="32" t="s">
        <v>15</v>
      </c>
      <c r="B609" s="15" t="s">
        <v>169</v>
      </c>
      <c r="C609" s="15" t="s">
        <v>16</v>
      </c>
      <c r="D609" s="17"/>
      <c r="E609" s="13">
        <f t="shared" si="226"/>
        <v>0</v>
      </c>
      <c r="F609" s="17">
        <v>0</v>
      </c>
      <c r="G609" s="115">
        <v>9.5</v>
      </c>
      <c r="H609" s="144"/>
      <c r="I609" s="145"/>
      <c r="J609" s="145"/>
      <c r="K609" s="129"/>
    </row>
    <row r="610" spans="1:20" ht="15" customHeight="1">
      <c r="A610" s="28" t="s">
        <v>19</v>
      </c>
      <c r="B610" s="15" t="s">
        <v>169</v>
      </c>
      <c r="C610" s="4">
        <v>244</v>
      </c>
      <c r="D610" s="17">
        <f>33.48+939.1+40+174.7+338</f>
        <v>1525.28</v>
      </c>
      <c r="E610" s="13">
        <f t="shared" si="226"/>
        <v>-1525.28</v>
      </c>
      <c r="F610" s="17">
        <v>0</v>
      </c>
      <c r="G610" s="115"/>
      <c r="H610" s="144"/>
      <c r="I610" s="145"/>
      <c r="J610" s="145"/>
      <c r="K610" s="129"/>
    </row>
    <row r="611" spans="1:20" s="47" customFormat="1" ht="25.5" customHeight="1">
      <c r="A611" s="28" t="s">
        <v>30</v>
      </c>
      <c r="B611" s="15" t="s">
        <v>169</v>
      </c>
      <c r="C611" s="4" t="s">
        <v>31</v>
      </c>
      <c r="D611" s="17">
        <f>56.2+220.8</f>
        <v>277</v>
      </c>
      <c r="E611" s="13">
        <f t="shared" si="226"/>
        <v>-277</v>
      </c>
      <c r="F611" s="17">
        <v>0</v>
      </c>
      <c r="G611" s="118" t="e">
        <f>G612+G770+G817+G861+#REF!+#REF!+#REF!+G868</f>
        <v>#REF!</v>
      </c>
      <c r="H611" s="121"/>
      <c r="I611" s="113" t="e">
        <f>I612+I770+I817+I868+#REF!+#REF!</f>
        <v>#REF!</v>
      </c>
      <c r="J611" s="113" t="e">
        <f>J612+J770+J817+J868+#REF!+#REF!</f>
        <v>#REF!</v>
      </c>
      <c r="K611" s="129"/>
    </row>
    <row r="612" spans="1:20" s="47" customFormat="1" ht="15" customHeight="1">
      <c r="A612" s="28" t="s">
        <v>32</v>
      </c>
      <c r="B612" s="15" t="s">
        <v>169</v>
      </c>
      <c r="C612" s="4" t="s">
        <v>33</v>
      </c>
      <c r="D612" s="17">
        <v>0.6</v>
      </c>
      <c r="E612" s="13">
        <f t="shared" si="226"/>
        <v>-0.6</v>
      </c>
      <c r="F612" s="17">
        <v>0</v>
      </c>
      <c r="G612" s="118">
        <f>G613+G626+G684+G693+G678</f>
        <v>44428.149999999994</v>
      </c>
      <c r="H612" s="121"/>
      <c r="I612" s="113">
        <f t="shared" ref="I612:J612" si="232">I613+I626+I678+I684+I693</f>
        <v>40889.289999999994</v>
      </c>
      <c r="J612" s="113">
        <f t="shared" si="232"/>
        <v>43070.499999999993</v>
      </c>
      <c r="K612" s="129"/>
      <c r="P612" s="155">
        <f>F618+F619+F620+F631+F632+F633+F634+F635+F636+F637+F656+F661+F662+F663+F664+F669+F670+F683+F690+F698+F699+F700+F716+F717+F718+F719+F720+F734+F737+F639+F640+F641+F642+F742+F743+F744+F745+F750+F755+F756</f>
        <v>133136.9</v>
      </c>
      <c r="Q612" s="155">
        <f>F612-P612</f>
        <v>-133136.9</v>
      </c>
      <c r="S612" s="155">
        <f t="shared" ref="S612:T612" si="233">I618+I619+I620+I631+I632+I633+I634+I635+I636+I637+I656+I661+I662+I663+I664+I669+I670+I683+I690+I698+I699+I700+I716+I717+I718+I719+I720+I734+I737+I639+I640+I641+I642+I742+I743+I744+I745+I750+I755+I756</f>
        <v>40889.29</v>
      </c>
      <c r="T612" s="155">
        <f t="shared" si="233"/>
        <v>43070.499999999993</v>
      </c>
    </row>
    <row r="613" spans="1:20" s="47" customFormat="1" ht="25.5" customHeight="1">
      <c r="A613" s="28" t="s">
        <v>21</v>
      </c>
      <c r="B613" s="15" t="s">
        <v>169</v>
      </c>
      <c r="C613" s="4" t="s">
        <v>22</v>
      </c>
      <c r="D613" s="17"/>
      <c r="E613" s="13">
        <f t="shared" si="226"/>
        <v>0</v>
      </c>
      <c r="F613" s="17">
        <v>0</v>
      </c>
      <c r="G613" s="118">
        <f>G614</f>
        <v>2930.18</v>
      </c>
      <c r="H613" s="121"/>
      <c r="I613" s="113">
        <f t="shared" ref="I613:J616" si="234">I614</f>
        <v>3179.51</v>
      </c>
      <c r="J613" s="113">
        <f t="shared" si="234"/>
        <v>3179.51</v>
      </c>
      <c r="K613" s="129"/>
    </row>
    <row r="614" spans="1:20" ht="12" customHeight="1">
      <c r="A614" s="28" t="s">
        <v>434</v>
      </c>
      <c r="B614" s="15" t="s">
        <v>433</v>
      </c>
      <c r="C614" s="4"/>
      <c r="D614" s="17">
        <f>D615</f>
        <v>3348.8</v>
      </c>
      <c r="E614" s="13">
        <f t="shared" si="226"/>
        <v>-3348.8</v>
      </c>
      <c r="F614" s="17">
        <v>0</v>
      </c>
      <c r="G614" s="117">
        <f>G622</f>
        <v>2930.18</v>
      </c>
      <c r="H614" s="120"/>
      <c r="I614" s="108">
        <f t="shared" si="234"/>
        <v>3179.51</v>
      </c>
      <c r="J614" s="108">
        <f t="shared" si="234"/>
        <v>3179.51</v>
      </c>
      <c r="K614" s="129"/>
    </row>
    <row r="615" spans="1:20" ht="36" customHeight="1">
      <c r="A615" s="28" t="s">
        <v>19</v>
      </c>
      <c r="B615" s="15" t="s">
        <v>433</v>
      </c>
      <c r="C615" s="4" t="s">
        <v>20</v>
      </c>
      <c r="D615" s="17">
        <v>3348.8</v>
      </c>
      <c r="E615" s="13">
        <f t="shared" si="226"/>
        <v>-3348.8</v>
      </c>
      <c r="F615" s="17">
        <v>0</v>
      </c>
      <c r="G615" s="117"/>
      <c r="H615" s="120"/>
      <c r="I615" s="108">
        <f t="shared" si="234"/>
        <v>3179.51</v>
      </c>
      <c r="J615" s="108">
        <f t="shared" si="234"/>
        <v>3179.51</v>
      </c>
      <c r="K615" s="129"/>
    </row>
    <row r="616" spans="1:20" ht="20.25" customHeight="1">
      <c r="A616" s="28" t="s">
        <v>170</v>
      </c>
      <c r="B616" s="15" t="s">
        <v>171</v>
      </c>
      <c r="C616" s="4"/>
      <c r="D616" s="17">
        <f>D618</f>
        <v>0</v>
      </c>
      <c r="E616" s="13">
        <f t="shared" si="226"/>
        <v>0</v>
      </c>
      <c r="F616" s="17">
        <v>0</v>
      </c>
      <c r="G616" s="117"/>
      <c r="H616" s="120"/>
      <c r="I616" s="108">
        <f t="shared" si="234"/>
        <v>3179.51</v>
      </c>
      <c r="J616" s="108">
        <f t="shared" si="234"/>
        <v>3179.51</v>
      </c>
      <c r="K616" s="129"/>
    </row>
    <row r="617" spans="1:20" ht="23.25" hidden="1" customHeight="1">
      <c r="A617" s="28" t="s">
        <v>170</v>
      </c>
      <c r="B617" s="15" t="s">
        <v>171</v>
      </c>
      <c r="C617" s="4"/>
      <c r="D617" s="17"/>
      <c r="E617" s="13"/>
      <c r="F617" s="17">
        <v>0</v>
      </c>
      <c r="G617" s="117"/>
      <c r="H617" s="120"/>
      <c r="I617" s="108">
        <f t="shared" ref="I617:J617" si="235">SUM(I618:I620)</f>
        <v>3179.51</v>
      </c>
      <c r="J617" s="108">
        <f t="shared" si="235"/>
        <v>3179.51</v>
      </c>
      <c r="K617" s="129"/>
    </row>
    <row r="618" spans="1:20" ht="25.5" customHeight="1">
      <c r="A618" s="28" t="s">
        <v>19</v>
      </c>
      <c r="B618" s="15" t="s">
        <v>171</v>
      </c>
      <c r="C618" s="4" t="s">
        <v>20</v>
      </c>
      <c r="D618" s="17"/>
      <c r="E618" s="13">
        <f t="shared" ref="E618:E649" si="236">F618-D618</f>
        <v>0</v>
      </c>
      <c r="F618" s="17">
        <v>0</v>
      </c>
      <c r="G618" s="117"/>
      <c r="H618" s="120"/>
      <c r="I618" s="107">
        <v>2416.21</v>
      </c>
      <c r="J618" s="107">
        <v>2416.21</v>
      </c>
      <c r="K618" s="129"/>
    </row>
    <row r="619" spans="1:20" ht="27.75" customHeight="1">
      <c r="A619" s="28" t="s">
        <v>176</v>
      </c>
      <c r="B619" s="15" t="s">
        <v>177</v>
      </c>
      <c r="C619" s="4"/>
      <c r="D619" s="17">
        <f>D620</f>
        <v>2734.2</v>
      </c>
      <c r="E619" s="13">
        <f t="shared" si="236"/>
        <v>3106</v>
      </c>
      <c r="F619" s="17">
        <f>F620</f>
        <v>5840.2</v>
      </c>
      <c r="G619" s="117"/>
      <c r="H619" s="120"/>
      <c r="I619" s="107">
        <v>33.6</v>
      </c>
      <c r="J619" s="107">
        <v>33.6</v>
      </c>
      <c r="K619" s="129"/>
    </row>
    <row r="620" spans="1:20" ht="42" customHeight="1">
      <c r="A620" s="28" t="s">
        <v>61</v>
      </c>
      <c r="B620" s="15" t="s">
        <v>177</v>
      </c>
      <c r="C620" s="4" t="s">
        <v>62</v>
      </c>
      <c r="D620" s="17">
        <v>2734.2</v>
      </c>
      <c r="E620" s="13">
        <f t="shared" si="236"/>
        <v>3106</v>
      </c>
      <c r="F620" s="17">
        <v>5840.2</v>
      </c>
      <c r="G620" s="117"/>
      <c r="H620" s="120"/>
      <c r="I620" s="107">
        <v>729.7</v>
      </c>
      <c r="J620" s="107">
        <v>729.7</v>
      </c>
      <c r="K620" s="129"/>
    </row>
    <row r="621" spans="1:20" ht="24" customHeight="1">
      <c r="A621" s="28" t="s">
        <v>178</v>
      </c>
      <c r="B621" s="15" t="s">
        <v>179</v>
      </c>
      <c r="C621" s="4"/>
      <c r="D621" s="17">
        <f>D622</f>
        <v>99.7</v>
      </c>
      <c r="E621" s="13">
        <f t="shared" si="236"/>
        <v>-9.2000000000000028</v>
      </c>
      <c r="F621" s="17">
        <f>F622</f>
        <v>90.5</v>
      </c>
      <c r="G621" s="115">
        <f>G622</f>
        <v>2930.18</v>
      </c>
      <c r="H621" s="120"/>
      <c r="I621" s="124"/>
      <c r="J621" s="124"/>
      <c r="K621" s="129"/>
    </row>
    <row r="622" spans="1:20" ht="15" customHeight="1">
      <c r="A622" s="28" t="s">
        <v>61</v>
      </c>
      <c r="B622" s="15" t="s">
        <v>179</v>
      </c>
      <c r="C622" s="4" t="s">
        <v>62</v>
      </c>
      <c r="D622" s="17">
        <v>99.7</v>
      </c>
      <c r="E622" s="13">
        <f t="shared" si="236"/>
        <v>-9.2000000000000028</v>
      </c>
      <c r="F622" s="17">
        <v>90.5</v>
      </c>
      <c r="G622" s="115">
        <f>SUBTOTAL(9,G623:G625)</f>
        <v>2930.18</v>
      </c>
      <c r="H622" s="120"/>
      <c r="I622" s="124"/>
      <c r="J622" s="124"/>
      <c r="K622" s="129"/>
    </row>
    <row r="623" spans="1:20" ht="28.5" customHeight="1">
      <c r="A623" s="28" t="s">
        <v>172</v>
      </c>
      <c r="B623" s="15" t="s">
        <v>173</v>
      </c>
      <c r="C623" s="4"/>
      <c r="D623" s="17">
        <f>D624</f>
        <v>909</v>
      </c>
      <c r="E623" s="13">
        <f t="shared" si="236"/>
        <v>-284.96000000000004</v>
      </c>
      <c r="F623" s="17">
        <f>F624</f>
        <v>624.04</v>
      </c>
      <c r="G623" s="115">
        <v>2317.5</v>
      </c>
      <c r="H623" s="120"/>
      <c r="I623" s="124"/>
      <c r="J623" s="124"/>
      <c r="K623" s="129"/>
    </row>
    <row r="624" spans="1:20" ht="38.25" customHeight="1">
      <c r="A624" s="28" t="s">
        <v>19</v>
      </c>
      <c r="B624" s="15" t="s">
        <v>173</v>
      </c>
      <c r="C624" s="4" t="s">
        <v>20</v>
      </c>
      <c r="D624" s="17">
        <f>900+9</f>
        <v>909</v>
      </c>
      <c r="E624" s="13">
        <f t="shared" si="236"/>
        <v>-284.96000000000004</v>
      </c>
      <c r="F624" s="17">
        <f>617.8+6.24</f>
        <v>624.04</v>
      </c>
      <c r="G624" s="115"/>
      <c r="H624" s="120"/>
      <c r="I624" s="124"/>
      <c r="J624" s="124"/>
      <c r="K624" s="129"/>
    </row>
    <row r="625" spans="1:16" ht="39.75" customHeight="1">
      <c r="A625" s="28" t="s">
        <v>174</v>
      </c>
      <c r="B625" s="15" t="s">
        <v>175</v>
      </c>
      <c r="C625" s="4"/>
      <c r="D625" s="17">
        <f>D626</f>
        <v>0</v>
      </c>
      <c r="E625" s="13">
        <f t="shared" si="236"/>
        <v>0</v>
      </c>
      <c r="F625" s="17">
        <v>0</v>
      </c>
      <c r="G625" s="115">
        <v>612.67999999999995</v>
      </c>
      <c r="H625" s="120"/>
      <c r="I625" s="124"/>
      <c r="J625" s="124"/>
      <c r="K625" s="129"/>
    </row>
    <row r="626" spans="1:16" s="47" customFormat="1" ht="51" customHeight="1">
      <c r="A626" s="28" t="s">
        <v>61</v>
      </c>
      <c r="B626" s="15" t="s">
        <v>175</v>
      </c>
      <c r="C626" s="4" t="s">
        <v>62</v>
      </c>
      <c r="D626" s="17"/>
      <c r="E626" s="13">
        <f t="shared" si="236"/>
        <v>0</v>
      </c>
      <c r="F626" s="17">
        <v>0</v>
      </c>
      <c r="G626" s="21">
        <f>G627+G652+G657+G672</f>
        <v>21533.26</v>
      </c>
      <c r="H626" s="121"/>
      <c r="I626" s="113">
        <f t="shared" ref="I626:J626" si="237">I627+I652+I657+I665</f>
        <v>26330.429999999997</v>
      </c>
      <c r="J626" s="113">
        <f t="shared" si="237"/>
        <v>27195.859999999997</v>
      </c>
      <c r="K626" s="129"/>
      <c r="P626" s="155">
        <f>F631+F632+F633+F634+F635+F636+F637+F639+F641+F656+F661+F663+F664+F669+F670</f>
        <v>7128.39</v>
      </c>
    </row>
    <row r="627" spans="1:16" ht="38.25" customHeight="1">
      <c r="A627" s="28" t="s">
        <v>155</v>
      </c>
      <c r="B627" s="15" t="s">
        <v>156</v>
      </c>
      <c r="C627" s="4"/>
      <c r="D627" s="17">
        <f>D628+D648</f>
        <v>24.4</v>
      </c>
      <c r="E627" s="13">
        <f t="shared" si="236"/>
        <v>7103.9900000000007</v>
      </c>
      <c r="F627" s="17">
        <f>F628</f>
        <v>7128.39</v>
      </c>
      <c r="G627" s="17">
        <f>G643</f>
        <v>18174.560000000001</v>
      </c>
      <c r="H627" s="120"/>
      <c r="I627" s="108">
        <f t="shared" ref="I627:J627" si="238">I628</f>
        <v>22810.129999999997</v>
      </c>
      <c r="J627" s="108">
        <f t="shared" si="238"/>
        <v>23675.559999999998</v>
      </c>
      <c r="K627" s="129"/>
    </row>
    <row r="628" spans="1:16" ht="29.25" customHeight="1">
      <c r="A628" s="28" t="s">
        <v>155</v>
      </c>
      <c r="B628" s="15" t="s">
        <v>156</v>
      </c>
      <c r="C628" s="4"/>
      <c r="D628" s="17"/>
      <c r="E628" s="13">
        <f t="shared" si="236"/>
        <v>7128.39</v>
      </c>
      <c r="F628" s="17">
        <f>F629</f>
        <v>7128.39</v>
      </c>
      <c r="G628" s="17"/>
      <c r="H628" s="120"/>
      <c r="I628" s="108">
        <f t="shared" ref="I628:J628" si="239">I629+I638</f>
        <v>22810.129999999997</v>
      </c>
      <c r="J628" s="108">
        <f t="shared" si="239"/>
        <v>23675.559999999998</v>
      </c>
      <c r="K628" s="129"/>
    </row>
    <row r="629" spans="1:16" ht="27.75" customHeight="1">
      <c r="A629" s="28" t="s">
        <v>157</v>
      </c>
      <c r="B629" s="15" t="s">
        <v>158</v>
      </c>
      <c r="C629" s="15"/>
      <c r="D629" s="17">
        <f>D640+D643</f>
        <v>7987.8099999999986</v>
      </c>
      <c r="E629" s="13">
        <f t="shared" si="236"/>
        <v>-859.41999999999825</v>
      </c>
      <c r="F629" s="17">
        <f>F630+F638</f>
        <v>7128.39</v>
      </c>
      <c r="G629" s="17"/>
      <c r="H629" s="120"/>
      <c r="I629" s="108">
        <f t="shared" ref="I629:J629" si="240">I630</f>
        <v>22691.329999999998</v>
      </c>
      <c r="J629" s="108">
        <f t="shared" si="240"/>
        <v>23556.76</v>
      </c>
      <c r="K629" s="129"/>
    </row>
    <row r="630" spans="1:16" ht="27.75" customHeight="1">
      <c r="A630" s="28" t="s">
        <v>554</v>
      </c>
      <c r="B630" s="15" t="s">
        <v>553</v>
      </c>
      <c r="C630" s="15"/>
      <c r="D630" s="17"/>
      <c r="E630" s="13">
        <f t="shared" si="236"/>
        <v>6693.0300000000007</v>
      </c>
      <c r="F630" s="17">
        <f>SUM(F631:F637)</f>
        <v>6693.0300000000007</v>
      </c>
      <c r="G630" s="17"/>
      <c r="H630" s="120"/>
      <c r="I630" s="108">
        <f t="shared" ref="I630:J630" si="241">SUM(I631:I637)</f>
        <v>22691.329999999998</v>
      </c>
      <c r="J630" s="108">
        <f t="shared" si="241"/>
        <v>23556.76</v>
      </c>
      <c r="K630" s="129"/>
    </row>
    <row r="631" spans="1:16" ht="27" customHeight="1">
      <c r="A631" s="28" t="s">
        <v>10</v>
      </c>
      <c r="B631" s="15" t="s">
        <v>553</v>
      </c>
      <c r="C631" s="15" t="s">
        <v>11</v>
      </c>
      <c r="D631" s="17"/>
      <c r="E631" s="13">
        <f t="shared" si="236"/>
        <v>4265.21</v>
      </c>
      <c r="F631" s="17">
        <f>6356.04-2090.83</f>
        <v>4265.21</v>
      </c>
      <c r="G631" s="17"/>
      <c r="H631" s="120"/>
      <c r="I631" s="107">
        <f t="shared" ref="I631:J631" si="242">18076.92-501.8-1505.4+463</f>
        <v>16532.72</v>
      </c>
      <c r="J631" s="107">
        <f t="shared" si="242"/>
        <v>16532.72</v>
      </c>
      <c r="K631" s="129"/>
    </row>
    <row r="632" spans="1:16" ht="30" customHeight="1">
      <c r="A632" s="32" t="s">
        <v>15</v>
      </c>
      <c r="B632" s="15" t="s">
        <v>553</v>
      </c>
      <c r="C632" s="15" t="s">
        <v>16</v>
      </c>
      <c r="D632" s="17"/>
      <c r="E632" s="13">
        <f t="shared" si="236"/>
        <v>277.2</v>
      </c>
      <c r="F632" s="17">
        <v>277.2</v>
      </c>
      <c r="G632" s="17"/>
      <c r="H632" s="120"/>
      <c r="I632" s="107">
        <v>896</v>
      </c>
      <c r="J632" s="107">
        <v>896</v>
      </c>
      <c r="K632" s="129"/>
    </row>
    <row r="633" spans="1:16" ht="38.25" customHeight="1">
      <c r="A633" s="28" t="s">
        <v>12</v>
      </c>
      <c r="B633" s="15" t="s">
        <v>553</v>
      </c>
      <c r="C633" s="15" t="s">
        <v>13</v>
      </c>
      <c r="D633" s="17"/>
      <c r="E633" s="13">
        <f t="shared" si="236"/>
        <v>1288.0900000000001</v>
      </c>
      <c r="F633" s="17">
        <f>1919.52-631.43</f>
        <v>1288.0900000000001</v>
      </c>
      <c r="G633" s="17"/>
      <c r="H633" s="120"/>
      <c r="I633" s="107">
        <f t="shared" ref="I633:J633" si="243">5459.23-151.54-454.63+139.83</f>
        <v>4992.8899999999994</v>
      </c>
      <c r="J633" s="107">
        <f t="shared" si="243"/>
        <v>4992.8899999999994</v>
      </c>
      <c r="K633" s="129"/>
    </row>
    <row r="634" spans="1:16" ht="29.25" customHeight="1">
      <c r="A634" s="28" t="s">
        <v>19</v>
      </c>
      <c r="B634" s="15" t="s">
        <v>553</v>
      </c>
      <c r="C634" s="4" t="s">
        <v>20</v>
      </c>
      <c r="D634" s="17"/>
      <c r="E634" s="13">
        <f t="shared" si="236"/>
        <v>756.54999999999984</v>
      </c>
      <c r="F634" s="17">
        <f>9850.65-4265.21-277.2-1288.09-2090.83-631.43-88.7-2.6-14.68-435.36</f>
        <v>756.54999999999984</v>
      </c>
      <c r="G634" s="17"/>
      <c r="H634" s="120"/>
      <c r="I634" s="107"/>
      <c r="J634" s="107">
        <f t="shared" ref="J634" si="244">25559.19-16069.72-4853.06-896-269.72+8.11-653.34-1960.03</f>
        <v>865.4299999999987</v>
      </c>
      <c r="K634" s="129"/>
    </row>
    <row r="635" spans="1:16" ht="29.25" customHeight="1">
      <c r="A635" s="28" t="s">
        <v>30</v>
      </c>
      <c r="B635" s="15" t="s">
        <v>553</v>
      </c>
      <c r="C635" s="15" t="s">
        <v>31</v>
      </c>
      <c r="D635" s="17"/>
      <c r="E635" s="13">
        <f t="shared" si="236"/>
        <v>88.7</v>
      </c>
      <c r="F635" s="17">
        <v>88.7</v>
      </c>
      <c r="G635" s="17"/>
      <c r="H635" s="120"/>
      <c r="I635" s="107">
        <v>114</v>
      </c>
      <c r="J635" s="107">
        <v>114</v>
      </c>
      <c r="K635" s="129"/>
    </row>
    <row r="636" spans="1:16" ht="20.25" customHeight="1">
      <c r="A636" s="28" t="s">
        <v>30</v>
      </c>
      <c r="B636" s="15" t="s">
        <v>553</v>
      </c>
      <c r="C636" s="15" t="s">
        <v>33</v>
      </c>
      <c r="D636" s="17"/>
      <c r="E636" s="13">
        <f t="shared" si="236"/>
        <v>2.6</v>
      </c>
      <c r="F636" s="17">
        <v>2.6</v>
      </c>
      <c r="G636" s="17"/>
      <c r="H636" s="120"/>
      <c r="I636" s="107">
        <v>45.62</v>
      </c>
      <c r="J636" s="107">
        <v>45.62</v>
      </c>
      <c r="K636" s="129"/>
    </row>
    <row r="637" spans="1:16" ht="21" customHeight="1">
      <c r="A637" s="28" t="s">
        <v>21</v>
      </c>
      <c r="B637" s="15" t="s">
        <v>553</v>
      </c>
      <c r="C637" s="15" t="s">
        <v>22</v>
      </c>
      <c r="D637" s="17"/>
      <c r="E637" s="13">
        <f t="shared" si="236"/>
        <v>14.680000000000001</v>
      </c>
      <c r="F637" s="17">
        <f>105.98-88.7-2.6</f>
        <v>14.680000000000001</v>
      </c>
      <c r="G637" s="17"/>
      <c r="H637" s="120"/>
      <c r="I637" s="107">
        <f t="shared" ref="I637:J637" si="245">269.72-114-45.62</f>
        <v>110.10000000000002</v>
      </c>
      <c r="J637" s="107">
        <f t="shared" si="245"/>
        <v>110.10000000000002</v>
      </c>
      <c r="K637" s="129"/>
    </row>
    <row r="638" spans="1:16" ht="57.75" customHeight="1">
      <c r="A638" s="14" t="s">
        <v>431</v>
      </c>
      <c r="B638" s="15" t="s">
        <v>498</v>
      </c>
      <c r="C638" s="15"/>
      <c r="D638" s="17"/>
      <c r="E638" s="13">
        <f t="shared" si="236"/>
        <v>435.36</v>
      </c>
      <c r="F638" s="17">
        <f>F639</f>
        <v>435.36</v>
      </c>
      <c r="G638" s="117"/>
      <c r="H638" s="120"/>
      <c r="I638" s="108">
        <f t="shared" ref="I638:J638" si="246">SUM(I639:I642)</f>
        <v>118.8</v>
      </c>
      <c r="J638" s="108">
        <f t="shared" si="246"/>
        <v>118.8</v>
      </c>
      <c r="K638" s="129"/>
    </row>
    <row r="639" spans="1:16" ht="21" customHeight="1">
      <c r="A639" s="28" t="s">
        <v>19</v>
      </c>
      <c r="B639" s="15" t="s">
        <v>498</v>
      </c>
      <c r="C639" s="4" t="s">
        <v>20</v>
      </c>
      <c r="D639" s="17"/>
      <c r="E639" s="13">
        <f t="shared" si="236"/>
        <v>435.36</v>
      </c>
      <c r="F639" s="17">
        <v>435.36</v>
      </c>
      <c r="G639" s="117"/>
      <c r="H639" s="120"/>
      <c r="I639" s="107">
        <v>95</v>
      </c>
      <c r="J639" s="107">
        <v>95</v>
      </c>
      <c r="K639" s="129" t="s">
        <v>523</v>
      </c>
    </row>
    <row r="640" spans="1:16" ht="39" customHeight="1">
      <c r="A640" s="28" t="s">
        <v>159</v>
      </c>
      <c r="B640" s="15" t="s">
        <v>160</v>
      </c>
      <c r="C640" s="4"/>
      <c r="D640" s="17">
        <f>SUBTOTAL(9,D641:D642)</f>
        <v>7368.6999999999989</v>
      </c>
      <c r="E640" s="13">
        <f t="shared" si="236"/>
        <v>-7368.6999999999989</v>
      </c>
      <c r="F640" s="17">
        <v>0</v>
      </c>
      <c r="G640" s="117"/>
      <c r="H640" s="120"/>
      <c r="I640" s="107"/>
      <c r="J640" s="107"/>
      <c r="K640" s="129" t="s">
        <v>523</v>
      </c>
    </row>
    <row r="641" spans="1:11" ht="21" customHeight="1">
      <c r="A641" s="28" t="s">
        <v>10</v>
      </c>
      <c r="B641" s="15" t="s">
        <v>160</v>
      </c>
      <c r="C641" s="15" t="s">
        <v>11</v>
      </c>
      <c r="D641" s="17">
        <f>6197.2-537.6</f>
        <v>5659.5999999999995</v>
      </c>
      <c r="E641" s="13">
        <f t="shared" si="236"/>
        <v>-5659.5999999999995</v>
      </c>
      <c r="F641" s="17">
        <v>0</v>
      </c>
      <c r="G641" s="117"/>
      <c r="H641" s="120"/>
      <c r="I641" s="107">
        <v>23.8</v>
      </c>
      <c r="J641" s="107">
        <v>23.8</v>
      </c>
      <c r="K641" s="129" t="s">
        <v>523</v>
      </c>
    </row>
    <row r="642" spans="1:11" ht="21" customHeight="1">
      <c r="A642" s="28" t="s">
        <v>12</v>
      </c>
      <c r="B642" s="15" t="s">
        <v>160</v>
      </c>
      <c r="C642" s="15" t="s">
        <v>13</v>
      </c>
      <c r="D642" s="17">
        <f>1871.5-162.4</f>
        <v>1709.1</v>
      </c>
      <c r="E642" s="13">
        <f t="shared" si="236"/>
        <v>-1709.1</v>
      </c>
      <c r="F642" s="17">
        <v>0</v>
      </c>
      <c r="G642" s="117"/>
      <c r="H642" s="120"/>
      <c r="I642" s="128"/>
      <c r="J642" s="128"/>
      <c r="K642" s="129" t="s">
        <v>523</v>
      </c>
    </row>
    <row r="643" spans="1:11" ht="25.5" customHeight="1">
      <c r="A643" s="28" t="s">
        <v>430</v>
      </c>
      <c r="B643" s="15" t="s">
        <v>161</v>
      </c>
      <c r="C643" s="4"/>
      <c r="D643" s="17">
        <f>SUBTOTAL(9,D644:D648)</f>
        <v>619.11</v>
      </c>
      <c r="E643" s="13">
        <f t="shared" si="236"/>
        <v>-619.11</v>
      </c>
      <c r="F643" s="17">
        <v>0</v>
      </c>
      <c r="G643" s="115">
        <f>G644</f>
        <v>18174.560000000001</v>
      </c>
      <c r="H643" s="144"/>
      <c r="I643" s="145"/>
      <c r="J643" s="145"/>
      <c r="K643" s="129"/>
    </row>
    <row r="644" spans="1:11" ht="25.5" customHeight="1">
      <c r="A644" s="32" t="s">
        <v>15</v>
      </c>
      <c r="B644" s="15" t="s">
        <v>161</v>
      </c>
      <c r="C644" s="15" t="s">
        <v>16</v>
      </c>
      <c r="D644" s="17"/>
      <c r="E644" s="13">
        <f t="shared" si="236"/>
        <v>0</v>
      </c>
      <c r="F644" s="17">
        <v>0</v>
      </c>
      <c r="G644" s="115">
        <f t="shared" ref="G644" si="247">G645</f>
        <v>18174.560000000001</v>
      </c>
      <c r="H644" s="144"/>
      <c r="I644" s="145"/>
      <c r="J644" s="145"/>
      <c r="K644" s="129"/>
    </row>
    <row r="645" spans="1:11" ht="25.5" customHeight="1">
      <c r="A645" s="28" t="s">
        <v>19</v>
      </c>
      <c r="B645" s="15" t="s">
        <v>161</v>
      </c>
      <c r="C645" s="4">
        <v>244</v>
      </c>
      <c r="D645" s="17">
        <f>57.36+91.7+49.93+58.4+284.74</f>
        <v>542.13</v>
      </c>
      <c r="E645" s="13">
        <f t="shared" si="236"/>
        <v>-542.13</v>
      </c>
      <c r="F645" s="17">
        <v>0</v>
      </c>
      <c r="G645" s="115">
        <f>G646+G649</f>
        <v>18174.560000000001</v>
      </c>
      <c r="H645" s="144"/>
      <c r="I645" s="145"/>
      <c r="J645" s="145"/>
      <c r="K645" s="129"/>
    </row>
    <row r="646" spans="1:11" ht="25.5" customHeight="1">
      <c r="A646" s="28" t="s">
        <v>30</v>
      </c>
      <c r="B646" s="15" t="s">
        <v>161</v>
      </c>
      <c r="C646" s="4" t="s">
        <v>31</v>
      </c>
      <c r="D646" s="17">
        <v>50.58</v>
      </c>
      <c r="E646" s="13">
        <f t="shared" si="236"/>
        <v>-50.58</v>
      </c>
      <c r="F646" s="17">
        <v>0</v>
      </c>
      <c r="G646" s="115">
        <f>SUBTOTAL(9,G647:G648)</f>
        <v>17790</v>
      </c>
      <c r="H646" s="144"/>
      <c r="I646" s="145"/>
      <c r="J646" s="145"/>
      <c r="K646" s="129"/>
    </row>
    <row r="647" spans="1:11" ht="25.5" customHeight="1">
      <c r="A647" s="28" t="s">
        <v>32</v>
      </c>
      <c r="B647" s="15" t="s">
        <v>161</v>
      </c>
      <c r="C647" s="4" t="s">
        <v>33</v>
      </c>
      <c r="D647" s="17">
        <v>2</v>
      </c>
      <c r="E647" s="13">
        <f t="shared" si="236"/>
        <v>-2</v>
      </c>
      <c r="F647" s="17">
        <v>0</v>
      </c>
      <c r="G647" s="115">
        <v>13663.6</v>
      </c>
      <c r="H647" s="144"/>
      <c r="I647" s="145"/>
      <c r="J647" s="145"/>
      <c r="K647" s="129"/>
    </row>
    <row r="648" spans="1:11" ht="24" customHeight="1">
      <c r="A648" s="28" t="s">
        <v>21</v>
      </c>
      <c r="B648" s="15" t="s">
        <v>161</v>
      </c>
      <c r="C648" s="4" t="s">
        <v>22</v>
      </c>
      <c r="D648" s="17">
        <f>0.4+24</f>
        <v>24.4</v>
      </c>
      <c r="E648" s="13">
        <f t="shared" si="236"/>
        <v>-24.4</v>
      </c>
      <c r="F648" s="17">
        <v>0</v>
      </c>
      <c r="G648" s="115">
        <v>4126.3999999999996</v>
      </c>
      <c r="H648" s="144"/>
      <c r="I648" s="145"/>
      <c r="J648" s="145"/>
      <c r="K648" s="129"/>
    </row>
    <row r="649" spans="1:11" ht="25.5" customHeight="1">
      <c r="A649" s="14" t="s">
        <v>431</v>
      </c>
      <c r="B649" s="15" t="s">
        <v>432</v>
      </c>
      <c r="C649" s="4"/>
      <c r="D649" s="17">
        <f>D650</f>
        <v>547.79</v>
      </c>
      <c r="E649" s="13">
        <f t="shared" si="236"/>
        <v>-547.79</v>
      </c>
      <c r="F649" s="17">
        <v>0</v>
      </c>
      <c r="G649" s="115">
        <f>SUBTOTAL(9,G650:G651)</f>
        <v>384.56</v>
      </c>
      <c r="H649" s="144"/>
      <c r="I649" s="145"/>
      <c r="J649" s="145"/>
      <c r="K649" s="129"/>
    </row>
    <row r="650" spans="1:11" ht="36" customHeight="1">
      <c r="A650" s="14" t="s">
        <v>19</v>
      </c>
      <c r="B650" s="15" t="s">
        <v>432</v>
      </c>
      <c r="C650" s="4" t="s">
        <v>20</v>
      </c>
      <c r="D650" s="17">
        <v>547.79</v>
      </c>
      <c r="E650" s="13">
        <f t="shared" ref="E650:E681" si="248">F650-D650</f>
        <v>-547.79</v>
      </c>
      <c r="F650" s="17">
        <v>0</v>
      </c>
      <c r="G650" s="115"/>
      <c r="H650" s="144"/>
      <c r="I650" s="145"/>
      <c r="J650" s="145"/>
      <c r="K650" s="129"/>
    </row>
    <row r="651" spans="1:11" ht="36.75" customHeight="1">
      <c r="A651" s="28" t="s">
        <v>639</v>
      </c>
      <c r="B651" s="15" t="s">
        <v>643</v>
      </c>
      <c r="C651" s="4"/>
      <c r="D651" s="17"/>
      <c r="E651" s="13">
        <f t="shared" si="248"/>
        <v>222.32</v>
      </c>
      <c r="F651" s="17">
        <f>F652</f>
        <v>222.32</v>
      </c>
      <c r="G651" s="115">
        <v>384.56</v>
      </c>
      <c r="H651" s="144"/>
      <c r="I651" s="145"/>
      <c r="J651" s="145"/>
      <c r="K651" s="129"/>
    </row>
    <row r="652" spans="1:11" ht="25.5" customHeight="1">
      <c r="A652" s="28" t="s">
        <v>19</v>
      </c>
      <c r="B652" s="15" t="s">
        <v>643</v>
      </c>
      <c r="C652" s="4" t="s">
        <v>20</v>
      </c>
      <c r="D652" s="17"/>
      <c r="E652" s="13">
        <f t="shared" si="248"/>
        <v>222.32</v>
      </c>
      <c r="F652" s="17">
        <f>220.1+2.22</f>
        <v>222.32</v>
      </c>
      <c r="G652" s="17">
        <f t="shared" ref="G652:G654" si="249">G653</f>
        <v>103.1</v>
      </c>
      <c r="H652" s="120"/>
      <c r="I652" s="108">
        <f t="shared" ref="I652:J655" si="250">I653</f>
        <v>99.3</v>
      </c>
      <c r="J652" s="108">
        <f t="shared" si="250"/>
        <v>99.3</v>
      </c>
      <c r="K652" s="129"/>
    </row>
    <row r="653" spans="1:11" ht="25.5" customHeight="1">
      <c r="A653" s="28" t="s">
        <v>310</v>
      </c>
      <c r="B653" s="15" t="s">
        <v>416</v>
      </c>
      <c r="C653" s="11"/>
      <c r="D653" s="17">
        <f>D662</f>
        <v>0.4</v>
      </c>
      <c r="E653" s="13">
        <f t="shared" si="248"/>
        <v>-0.4</v>
      </c>
      <c r="F653" s="17">
        <v>0</v>
      </c>
      <c r="G653" s="17">
        <f t="shared" si="249"/>
        <v>103.1</v>
      </c>
      <c r="H653" s="120"/>
      <c r="I653" s="108">
        <f t="shared" si="250"/>
        <v>99.3</v>
      </c>
      <c r="J653" s="108">
        <f t="shared" si="250"/>
        <v>99.3</v>
      </c>
      <c r="K653" s="129"/>
    </row>
    <row r="654" spans="1:11" ht="25.5" customHeight="1">
      <c r="A654" s="28" t="s">
        <v>418</v>
      </c>
      <c r="B654" s="15" t="s">
        <v>417</v>
      </c>
      <c r="C654" s="11"/>
      <c r="D654" s="17">
        <f>D655</f>
        <v>2337.02</v>
      </c>
      <c r="E654" s="13">
        <f t="shared" si="248"/>
        <v>-2337.02</v>
      </c>
      <c r="F654" s="17">
        <v>0</v>
      </c>
      <c r="G654" s="17">
        <f t="shared" si="249"/>
        <v>103.1</v>
      </c>
      <c r="H654" s="120"/>
      <c r="I654" s="108">
        <f t="shared" si="250"/>
        <v>99.3</v>
      </c>
      <c r="J654" s="108">
        <f t="shared" si="250"/>
        <v>99.3</v>
      </c>
      <c r="K654" s="129"/>
    </row>
    <row r="655" spans="1:11" ht="51" customHeight="1">
      <c r="A655" s="28" t="s">
        <v>152</v>
      </c>
      <c r="B655" s="15" t="s">
        <v>419</v>
      </c>
      <c r="C655" s="15"/>
      <c r="D655" s="17">
        <f>D656+D659</f>
        <v>2337.02</v>
      </c>
      <c r="E655" s="13">
        <f t="shared" si="248"/>
        <v>-2337.02</v>
      </c>
      <c r="F655" s="17">
        <v>0</v>
      </c>
      <c r="G655" s="17">
        <f>SUM(G656:G656)</f>
        <v>103.1</v>
      </c>
      <c r="H655" s="120"/>
      <c r="I655" s="108">
        <f t="shared" si="250"/>
        <v>99.3</v>
      </c>
      <c r="J655" s="108">
        <f t="shared" si="250"/>
        <v>99.3</v>
      </c>
      <c r="K655" s="129"/>
    </row>
    <row r="656" spans="1:11" ht="25.5" customHeight="1">
      <c r="A656" s="28" t="s">
        <v>153</v>
      </c>
      <c r="B656" s="15" t="s">
        <v>420</v>
      </c>
      <c r="C656" s="4"/>
      <c r="D656" s="17">
        <f>SUBTOTAL(9,D657:D658)</f>
        <v>2250.62</v>
      </c>
      <c r="E656" s="13">
        <f t="shared" si="248"/>
        <v>-2250.62</v>
      </c>
      <c r="F656" s="17">
        <v>0</v>
      </c>
      <c r="G656" s="117">
        <v>103.1</v>
      </c>
      <c r="H656" s="120"/>
      <c r="I656" s="107">
        <v>99.3</v>
      </c>
      <c r="J656" s="107">
        <v>99.3</v>
      </c>
      <c r="K656" s="129" t="s">
        <v>523</v>
      </c>
    </row>
    <row r="657" spans="1:11" ht="38.25" customHeight="1">
      <c r="A657" s="28" t="s">
        <v>104</v>
      </c>
      <c r="B657" s="15" t="s">
        <v>420</v>
      </c>
      <c r="C657" s="15" t="s">
        <v>42</v>
      </c>
      <c r="D657" s="17">
        <f>2074.21-345.6</f>
        <v>1728.6100000000001</v>
      </c>
      <c r="E657" s="13">
        <f t="shared" si="248"/>
        <v>-1728.6100000000001</v>
      </c>
      <c r="F657" s="17">
        <v>0</v>
      </c>
      <c r="G657" s="17">
        <f t="shared" ref="G657:G659" si="251">G658</f>
        <v>3137</v>
      </c>
      <c r="H657" s="120"/>
      <c r="I657" s="108">
        <f t="shared" ref="I657:J659" si="252">I658</f>
        <v>3421</v>
      </c>
      <c r="J657" s="108">
        <f t="shared" si="252"/>
        <v>3421</v>
      </c>
      <c r="K657" s="129"/>
    </row>
    <row r="658" spans="1:11" ht="15" customHeight="1">
      <c r="A658" s="28" t="s">
        <v>43</v>
      </c>
      <c r="B658" s="15" t="s">
        <v>420</v>
      </c>
      <c r="C658" s="15" t="s">
        <v>44</v>
      </c>
      <c r="D658" s="17">
        <f>626.41-104.4</f>
        <v>522.01</v>
      </c>
      <c r="E658" s="13">
        <f t="shared" si="248"/>
        <v>-522.01</v>
      </c>
      <c r="F658" s="17">
        <v>0</v>
      </c>
      <c r="G658" s="17">
        <f t="shared" si="251"/>
        <v>3137</v>
      </c>
      <c r="H658" s="120"/>
      <c r="I658" s="108">
        <f t="shared" si="252"/>
        <v>3421</v>
      </c>
      <c r="J658" s="108">
        <f t="shared" si="252"/>
        <v>3421</v>
      </c>
      <c r="K658" s="129"/>
    </row>
    <row r="659" spans="1:11" ht="38.25" customHeight="1">
      <c r="A659" s="28" t="s">
        <v>154</v>
      </c>
      <c r="B659" s="15" t="s">
        <v>421</v>
      </c>
      <c r="C659" s="4"/>
      <c r="D659" s="17">
        <f>SUM(D660:D662)</f>
        <v>86.4</v>
      </c>
      <c r="E659" s="13">
        <f t="shared" si="248"/>
        <v>-86.4</v>
      </c>
      <c r="F659" s="17">
        <v>0</v>
      </c>
      <c r="G659" s="17">
        <f t="shared" si="251"/>
        <v>3137</v>
      </c>
      <c r="H659" s="120"/>
      <c r="I659" s="108">
        <f t="shared" si="252"/>
        <v>3421</v>
      </c>
      <c r="J659" s="108">
        <f t="shared" si="252"/>
        <v>3421</v>
      </c>
      <c r="K659" s="129"/>
    </row>
    <row r="660" spans="1:11" ht="38.25" customHeight="1">
      <c r="A660" s="28" t="s">
        <v>46</v>
      </c>
      <c r="B660" s="15" t="s">
        <v>421</v>
      </c>
      <c r="C660" s="15" t="s">
        <v>47</v>
      </c>
      <c r="D660" s="17"/>
      <c r="E660" s="13">
        <f t="shared" si="248"/>
        <v>0</v>
      </c>
      <c r="F660" s="17">
        <v>0</v>
      </c>
      <c r="G660" s="17">
        <f>SUBTOTAL(9,G661:G664)</f>
        <v>3137</v>
      </c>
      <c r="H660" s="120"/>
      <c r="I660" s="108">
        <f t="shared" ref="I660:J660" si="253">SUM(I661:I664)</f>
        <v>3421</v>
      </c>
      <c r="J660" s="108">
        <f t="shared" si="253"/>
        <v>3421</v>
      </c>
      <c r="K660" s="129"/>
    </row>
    <row r="661" spans="1:11" ht="25.5" customHeight="1">
      <c r="A661" s="28" t="s">
        <v>19</v>
      </c>
      <c r="B661" s="15" t="s">
        <v>421</v>
      </c>
      <c r="C661" s="4">
        <v>244</v>
      </c>
      <c r="D661" s="17">
        <f>23+27+36</f>
        <v>86</v>
      </c>
      <c r="E661" s="13">
        <f t="shared" si="248"/>
        <v>-86</v>
      </c>
      <c r="F661" s="17">
        <v>0</v>
      </c>
      <c r="G661" s="117">
        <v>1920</v>
      </c>
      <c r="H661" s="120"/>
      <c r="I661" s="107">
        <v>2497</v>
      </c>
      <c r="J661" s="107">
        <v>2497</v>
      </c>
      <c r="K661" s="129" t="s">
        <v>523</v>
      </c>
    </row>
    <row r="662" spans="1:11" ht="26.25" customHeight="1">
      <c r="A662" s="28" t="s">
        <v>21</v>
      </c>
      <c r="B662" s="15" t="s">
        <v>421</v>
      </c>
      <c r="C662" s="4" t="s">
        <v>22</v>
      </c>
      <c r="D662" s="17">
        <v>0.4</v>
      </c>
      <c r="E662" s="13">
        <f t="shared" si="248"/>
        <v>-0.4</v>
      </c>
      <c r="F662" s="17">
        <v>0</v>
      </c>
      <c r="G662" s="117">
        <v>100</v>
      </c>
      <c r="H662" s="120"/>
      <c r="I662" s="107"/>
      <c r="J662" s="107"/>
      <c r="K662" s="129" t="s">
        <v>523</v>
      </c>
    </row>
    <row r="663" spans="1:11" ht="38.25" hidden="1" customHeight="1">
      <c r="A663" s="28" t="s">
        <v>300</v>
      </c>
      <c r="B663" s="16" t="s">
        <v>302</v>
      </c>
      <c r="C663" s="4"/>
      <c r="D663" s="13">
        <f>D664</f>
        <v>0</v>
      </c>
      <c r="E663" s="13">
        <f t="shared" si="248"/>
        <v>0</v>
      </c>
      <c r="F663" s="13">
        <f>F664</f>
        <v>0</v>
      </c>
      <c r="G663" s="117">
        <v>580</v>
      </c>
      <c r="H663" s="120"/>
      <c r="I663" s="107">
        <v>754</v>
      </c>
      <c r="J663" s="107">
        <v>754</v>
      </c>
      <c r="K663" s="129" t="s">
        <v>523</v>
      </c>
    </row>
    <row r="664" spans="1:11" ht="25.5" hidden="1" customHeight="1">
      <c r="A664" s="28" t="s">
        <v>300</v>
      </c>
      <c r="B664" s="16" t="s">
        <v>302</v>
      </c>
      <c r="C664" s="15"/>
      <c r="D664" s="17">
        <f>D665</f>
        <v>0</v>
      </c>
      <c r="E664" s="13">
        <f t="shared" si="248"/>
        <v>0</v>
      </c>
      <c r="F664" s="17">
        <f>F665</f>
        <v>0</v>
      </c>
      <c r="G664" s="117">
        <f>534+3</f>
        <v>537</v>
      </c>
      <c r="H664" s="120"/>
      <c r="I664" s="107">
        <v>170</v>
      </c>
      <c r="J664" s="107">
        <v>170</v>
      </c>
      <c r="K664" s="129" t="s">
        <v>523</v>
      </c>
    </row>
    <row r="665" spans="1:11" ht="25.5" hidden="1" customHeight="1">
      <c r="A665" s="28" t="s">
        <v>300</v>
      </c>
      <c r="B665" s="16" t="s">
        <v>302</v>
      </c>
      <c r="C665" s="15"/>
      <c r="D665" s="17">
        <f>D666</f>
        <v>0</v>
      </c>
      <c r="E665" s="13">
        <f t="shared" si="248"/>
        <v>0</v>
      </c>
      <c r="F665" s="17">
        <f>F666</f>
        <v>0</v>
      </c>
      <c r="G665" s="117"/>
      <c r="H665" s="120"/>
      <c r="I665" s="108">
        <f t="shared" ref="I665:J667" si="254">I666</f>
        <v>0</v>
      </c>
      <c r="J665" s="108">
        <f t="shared" si="254"/>
        <v>0</v>
      </c>
      <c r="K665" s="129"/>
    </row>
    <row r="666" spans="1:11" ht="25.5" hidden="1" customHeight="1">
      <c r="A666" s="28" t="s">
        <v>300</v>
      </c>
      <c r="B666" s="16" t="s">
        <v>302</v>
      </c>
      <c r="C666" s="4"/>
      <c r="D666" s="17">
        <f>D667</f>
        <v>0</v>
      </c>
      <c r="E666" s="13">
        <f t="shared" si="248"/>
        <v>0</v>
      </c>
      <c r="F666" s="17">
        <f>F667+F674</f>
        <v>0</v>
      </c>
      <c r="G666" s="117"/>
      <c r="H666" s="120"/>
      <c r="I666" s="108">
        <f t="shared" si="254"/>
        <v>0</v>
      </c>
      <c r="J666" s="108">
        <f t="shared" si="254"/>
        <v>0</v>
      </c>
      <c r="K666" s="129"/>
    </row>
    <row r="667" spans="1:11" ht="25.5" hidden="1" customHeight="1">
      <c r="A667" s="28" t="s">
        <v>300</v>
      </c>
      <c r="B667" s="15" t="s">
        <v>302</v>
      </c>
      <c r="C667" s="7"/>
      <c r="D667" s="17">
        <f>D669</f>
        <v>0</v>
      </c>
      <c r="E667" s="13">
        <f t="shared" si="248"/>
        <v>0</v>
      </c>
      <c r="F667" s="17">
        <f>F670+F678</f>
        <v>0</v>
      </c>
      <c r="G667" s="117"/>
      <c r="H667" s="120"/>
      <c r="I667" s="108">
        <f t="shared" si="254"/>
        <v>0</v>
      </c>
      <c r="J667" s="108">
        <f t="shared" si="254"/>
        <v>0</v>
      </c>
      <c r="K667" s="129"/>
    </row>
    <row r="668" spans="1:11" ht="25.5" hidden="1" customHeight="1">
      <c r="A668" s="28" t="s">
        <v>300</v>
      </c>
      <c r="B668" s="15" t="s">
        <v>302</v>
      </c>
      <c r="C668" s="15"/>
      <c r="D668" s="17"/>
      <c r="E668" s="13">
        <f t="shared" si="248"/>
        <v>0</v>
      </c>
      <c r="F668" s="17">
        <f t="shared" ref="F668:F679" si="255">F669</f>
        <v>0</v>
      </c>
      <c r="G668" s="117"/>
      <c r="H668" s="120"/>
      <c r="I668" s="108">
        <f t="shared" ref="I668:J668" si="256">I669+I670</f>
        <v>0</v>
      </c>
      <c r="J668" s="108">
        <f t="shared" si="256"/>
        <v>0</v>
      </c>
      <c r="K668" s="129"/>
    </row>
    <row r="669" spans="1:11" ht="25.5" hidden="1" customHeight="1">
      <c r="A669" s="28" t="s">
        <v>300</v>
      </c>
      <c r="B669" s="15" t="s">
        <v>302</v>
      </c>
      <c r="C669" s="7"/>
      <c r="D669" s="17">
        <f t="shared" ref="D669:D674" si="257">D670</f>
        <v>0</v>
      </c>
      <c r="E669" s="13">
        <f t="shared" si="248"/>
        <v>0</v>
      </c>
      <c r="F669" s="17">
        <f t="shared" si="255"/>
        <v>0</v>
      </c>
      <c r="G669" s="117"/>
      <c r="H669" s="120"/>
      <c r="I669" s="107"/>
      <c r="J669" s="107"/>
      <c r="K669" s="132" t="s">
        <v>524</v>
      </c>
    </row>
    <row r="670" spans="1:11" ht="38.25" hidden="1" customHeight="1">
      <c r="A670" s="28" t="s">
        <v>300</v>
      </c>
      <c r="B670" s="15" t="s">
        <v>302</v>
      </c>
      <c r="C670" s="7"/>
      <c r="D670" s="17">
        <f t="shared" si="257"/>
        <v>0</v>
      </c>
      <c r="E670" s="13">
        <f t="shared" si="248"/>
        <v>0</v>
      </c>
      <c r="F670" s="17">
        <f t="shared" si="255"/>
        <v>0</v>
      </c>
      <c r="G670" s="117"/>
      <c r="H670" s="120"/>
      <c r="I670" s="107"/>
      <c r="J670" s="107"/>
      <c r="K670" s="132" t="s">
        <v>524</v>
      </c>
    </row>
    <row r="671" spans="1:11" ht="16.5" hidden="1" customHeight="1">
      <c r="A671" s="28" t="s">
        <v>300</v>
      </c>
      <c r="B671" s="15" t="s">
        <v>302</v>
      </c>
      <c r="C671" s="7"/>
      <c r="D671" s="17">
        <f t="shared" si="257"/>
        <v>0</v>
      </c>
      <c r="E671" s="13">
        <f t="shared" si="248"/>
        <v>0</v>
      </c>
      <c r="F671" s="13">
        <f t="shared" si="255"/>
        <v>0</v>
      </c>
      <c r="G671" s="115"/>
      <c r="H671" s="144"/>
      <c r="I671" s="145"/>
      <c r="J671" s="145"/>
      <c r="K671" s="129"/>
    </row>
    <row r="672" spans="1:11" ht="28.5" hidden="1" customHeight="1">
      <c r="A672" s="28" t="s">
        <v>300</v>
      </c>
      <c r="B672" s="16" t="s">
        <v>302</v>
      </c>
      <c r="C672" s="4"/>
      <c r="D672" s="17">
        <f t="shared" si="257"/>
        <v>0</v>
      </c>
      <c r="E672" s="13">
        <f t="shared" si="248"/>
        <v>0</v>
      </c>
      <c r="F672" s="17">
        <f t="shared" si="255"/>
        <v>0</v>
      </c>
      <c r="G672" s="115">
        <f>G673</f>
        <v>118.6</v>
      </c>
      <c r="H672" s="144"/>
      <c r="I672" s="145"/>
      <c r="J672" s="145"/>
      <c r="K672" s="129"/>
    </row>
    <row r="673" spans="1:11" ht="34.5" hidden="1" customHeight="1">
      <c r="A673" s="28" t="s">
        <v>300</v>
      </c>
      <c r="B673" s="16" t="s">
        <v>302</v>
      </c>
      <c r="C673" s="4"/>
      <c r="D673" s="17">
        <f t="shared" si="257"/>
        <v>0</v>
      </c>
      <c r="E673" s="13">
        <f t="shared" si="248"/>
        <v>0</v>
      </c>
      <c r="F673" s="17">
        <f t="shared" si="255"/>
        <v>0</v>
      </c>
      <c r="G673" s="115">
        <f>SUBTOTAL(9,G674:G677)</f>
        <v>118.6</v>
      </c>
      <c r="H673" s="144"/>
      <c r="I673" s="145"/>
      <c r="J673" s="145"/>
      <c r="K673" s="129"/>
    </row>
    <row r="674" spans="1:11" ht="25.5" hidden="1" customHeight="1">
      <c r="A674" s="28" t="s">
        <v>300</v>
      </c>
      <c r="B674" s="16" t="s">
        <v>302</v>
      </c>
      <c r="C674" s="4"/>
      <c r="D674" s="17">
        <f t="shared" si="257"/>
        <v>0</v>
      </c>
      <c r="E674" s="13">
        <f t="shared" si="248"/>
        <v>0</v>
      </c>
      <c r="F674" s="17">
        <f t="shared" si="255"/>
        <v>0</v>
      </c>
      <c r="G674" s="115">
        <v>95</v>
      </c>
      <c r="H674" s="144"/>
      <c r="I674" s="114"/>
      <c r="J674" s="114"/>
      <c r="K674" s="129"/>
    </row>
    <row r="675" spans="1:11" ht="25.5" hidden="1" customHeight="1">
      <c r="A675" s="28" t="s">
        <v>300</v>
      </c>
      <c r="B675" s="16" t="s">
        <v>302</v>
      </c>
      <c r="C675" s="15"/>
      <c r="D675" s="17"/>
      <c r="E675" s="13">
        <f t="shared" si="248"/>
        <v>0</v>
      </c>
      <c r="F675" s="17">
        <f t="shared" si="255"/>
        <v>0</v>
      </c>
      <c r="G675" s="115"/>
      <c r="H675" s="144"/>
      <c r="I675" s="114"/>
      <c r="J675" s="114"/>
      <c r="K675" s="129"/>
    </row>
    <row r="676" spans="1:11" ht="42" hidden="1" customHeight="1">
      <c r="A676" s="28" t="s">
        <v>300</v>
      </c>
      <c r="B676" s="16" t="s">
        <v>302</v>
      </c>
      <c r="C676" s="15"/>
      <c r="D676" s="17"/>
      <c r="E676" s="13">
        <f t="shared" si="248"/>
        <v>0</v>
      </c>
      <c r="F676" s="17">
        <f t="shared" si="255"/>
        <v>0</v>
      </c>
      <c r="G676" s="115">
        <f>28.7-5.1</f>
        <v>23.6</v>
      </c>
      <c r="H676" s="144"/>
      <c r="I676" s="114"/>
      <c r="J676" s="114"/>
      <c r="K676" s="129"/>
    </row>
    <row r="677" spans="1:11" ht="25.5" hidden="1" customHeight="1">
      <c r="A677" s="28" t="s">
        <v>300</v>
      </c>
      <c r="B677" s="16" t="s">
        <v>302</v>
      </c>
      <c r="C677" s="15"/>
      <c r="D677" s="17">
        <f>D678</f>
        <v>0</v>
      </c>
      <c r="E677" s="13">
        <f t="shared" si="248"/>
        <v>0</v>
      </c>
      <c r="F677" s="17">
        <f t="shared" si="255"/>
        <v>0</v>
      </c>
      <c r="G677" s="115"/>
      <c r="H677" s="144"/>
      <c r="I677" s="145"/>
      <c r="J677" s="145"/>
      <c r="K677" s="129"/>
    </row>
    <row r="678" spans="1:11" s="47" customFormat="1" ht="15" hidden="1" customHeight="1">
      <c r="A678" s="28" t="s">
        <v>300</v>
      </c>
      <c r="B678" s="16" t="s">
        <v>302</v>
      </c>
      <c r="C678" s="7"/>
      <c r="D678" s="17">
        <f>D679</f>
        <v>0</v>
      </c>
      <c r="E678" s="13">
        <f t="shared" si="248"/>
        <v>0</v>
      </c>
      <c r="F678" s="17">
        <f t="shared" si="255"/>
        <v>0</v>
      </c>
      <c r="G678" s="21">
        <f>G681</f>
        <v>101.1</v>
      </c>
      <c r="H678" s="121"/>
      <c r="I678" s="113">
        <f t="shared" ref="I678:J682" si="258">I679</f>
        <v>94.7</v>
      </c>
      <c r="J678" s="113">
        <f t="shared" si="258"/>
        <v>4.5999999999999996</v>
      </c>
      <c r="K678" s="129"/>
    </row>
    <row r="679" spans="1:11" ht="28.5" hidden="1" customHeight="1">
      <c r="A679" s="28" t="s">
        <v>300</v>
      </c>
      <c r="B679" s="16" t="s">
        <v>302</v>
      </c>
      <c r="C679" s="15"/>
      <c r="D679" s="17"/>
      <c r="E679" s="13">
        <f t="shared" si="248"/>
        <v>0</v>
      </c>
      <c r="F679" s="17">
        <f t="shared" si="255"/>
        <v>0</v>
      </c>
      <c r="G679" s="17">
        <f>G680</f>
        <v>101.1</v>
      </c>
      <c r="H679" s="120"/>
      <c r="I679" s="108">
        <f t="shared" si="258"/>
        <v>94.7</v>
      </c>
      <c r="J679" s="108">
        <f t="shared" si="258"/>
        <v>4.5999999999999996</v>
      </c>
      <c r="K679" s="129"/>
    </row>
    <row r="680" spans="1:11" ht="25.5" hidden="1" customHeight="1">
      <c r="A680" s="28" t="s">
        <v>300</v>
      </c>
      <c r="B680" s="16" t="s">
        <v>302</v>
      </c>
      <c r="C680" s="15"/>
      <c r="D680" s="17">
        <f>D681</f>
        <v>0</v>
      </c>
      <c r="E680" s="13">
        <f t="shared" si="248"/>
        <v>0</v>
      </c>
      <c r="F680" s="17">
        <v>0</v>
      </c>
      <c r="G680" s="17">
        <f>G681</f>
        <v>101.1</v>
      </c>
      <c r="H680" s="120"/>
      <c r="I680" s="108">
        <f t="shared" si="258"/>
        <v>94.7</v>
      </c>
      <c r="J680" s="108">
        <f t="shared" si="258"/>
        <v>4.5999999999999996</v>
      </c>
      <c r="K680" s="129"/>
    </row>
    <row r="681" spans="1:11" ht="25.5" hidden="1" customHeight="1">
      <c r="A681" s="28" t="s">
        <v>300</v>
      </c>
      <c r="B681" s="16" t="s">
        <v>302</v>
      </c>
      <c r="C681" s="15"/>
      <c r="D681" s="17">
        <f>D682</f>
        <v>0</v>
      </c>
      <c r="E681" s="13">
        <f t="shared" si="248"/>
        <v>0</v>
      </c>
      <c r="F681" s="17">
        <f>F682</f>
        <v>0</v>
      </c>
      <c r="G681" s="17">
        <f t="shared" ref="G681" si="259">G682</f>
        <v>101.1</v>
      </c>
      <c r="H681" s="120"/>
      <c r="I681" s="108">
        <f t="shared" si="258"/>
        <v>94.7</v>
      </c>
      <c r="J681" s="108">
        <f t="shared" si="258"/>
        <v>4.5999999999999996</v>
      </c>
      <c r="K681" s="129"/>
    </row>
    <row r="682" spans="1:11" ht="38.25" hidden="1" customHeight="1">
      <c r="A682" s="28" t="s">
        <v>300</v>
      </c>
      <c r="B682" s="16" t="s">
        <v>302</v>
      </c>
      <c r="C682" s="15"/>
      <c r="D682" s="17">
        <f>D683</f>
        <v>0</v>
      </c>
      <c r="E682" s="13">
        <f t="shared" ref="E682:E713" si="260">F682-D682</f>
        <v>0</v>
      </c>
      <c r="F682" s="17">
        <f>F683</f>
        <v>0</v>
      </c>
      <c r="G682" s="17">
        <f>G683</f>
        <v>101.1</v>
      </c>
      <c r="H682" s="120"/>
      <c r="I682" s="108">
        <f t="shared" si="258"/>
        <v>94.7</v>
      </c>
      <c r="J682" s="108">
        <f t="shared" si="258"/>
        <v>4.5999999999999996</v>
      </c>
      <c r="K682" s="129"/>
    </row>
    <row r="683" spans="1:11" ht="25.5" hidden="1" customHeight="1">
      <c r="A683" s="28" t="s">
        <v>300</v>
      </c>
      <c r="B683" s="16" t="s">
        <v>302</v>
      </c>
      <c r="C683" s="15"/>
      <c r="D683" s="13">
        <f>D684</f>
        <v>0</v>
      </c>
      <c r="E683" s="13">
        <f t="shared" si="260"/>
        <v>0</v>
      </c>
      <c r="F683" s="17">
        <v>0</v>
      </c>
      <c r="G683" s="117">
        <v>101.1</v>
      </c>
      <c r="H683" s="120"/>
      <c r="I683" s="107">
        <v>94.7</v>
      </c>
      <c r="J683" s="107">
        <v>4.5999999999999996</v>
      </c>
      <c r="K683" s="129" t="s">
        <v>523</v>
      </c>
    </row>
    <row r="684" spans="1:11" s="47" customFormat="1" ht="26.25" customHeight="1">
      <c r="A684" s="28" t="s">
        <v>300</v>
      </c>
      <c r="B684" s="16" t="s">
        <v>302</v>
      </c>
      <c r="C684" s="15"/>
      <c r="D684" s="17"/>
      <c r="E684" s="13">
        <f t="shared" si="260"/>
        <v>5219.07</v>
      </c>
      <c r="F684" s="17">
        <f>F685</f>
        <v>5219.07</v>
      </c>
      <c r="G684" s="118">
        <f t="shared" ref="G684:G691" si="261">G685</f>
        <v>2000</v>
      </c>
      <c r="H684" s="121"/>
      <c r="I684" s="113">
        <f t="shared" ref="I684:J689" si="262">I685</f>
        <v>1000</v>
      </c>
      <c r="J684" s="113">
        <f t="shared" si="262"/>
        <v>2000</v>
      </c>
      <c r="K684" s="129"/>
    </row>
    <row r="685" spans="1:11" ht="27.75" customHeight="1">
      <c r="A685" s="28" t="s">
        <v>496</v>
      </c>
      <c r="B685" s="15" t="s">
        <v>623</v>
      </c>
      <c r="C685" s="15"/>
      <c r="D685" s="17">
        <f>D696+D699</f>
        <v>0</v>
      </c>
      <c r="E685" s="13">
        <f t="shared" si="260"/>
        <v>5219.07</v>
      </c>
      <c r="F685" s="17">
        <f>F686</f>
        <v>5219.07</v>
      </c>
      <c r="G685" s="117">
        <f t="shared" si="261"/>
        <v>2000</v>
      </c>
      <c r="H685" s="120"/>
      <c r="I685" s="108">
        <f t="shared" si="262"/>
        <v>1000</v>
      </c>
      <c r="J685" s="108">
        <f t="shared" si="262"/>
        <v>2000</v>
      </c>
      <c r="K685" s="129"/>
    </row>
    <row r="686" spans="1:11" ht="25.5" customHeight="1">
      <c r="A686" s="28" t="s">
        <v>118</v>
      </c>
      <c r="B686" s="15" t="s">
        <v>624</v>
      </c>
      <c r="C686" s="15"/>
      <c r="D686" s="17"/>
      <c r="E686" s="13">
        <f t="shared" si="260"/>
        <v>5219.07</v>
      </c>
      <c r="F686" s="17">
        <f>F687</f>
        <v>5219.07</v>
      </c>
      <c r="G686" s="117">
        <f t="shared" si="261"/>
        <v>2000</v>
      </c>
      <c r="H686" s="120"/>
      <c r="I686" s="108">
        <f t="shared" si="262"/>
        <v>1000</v>
      </c>
      <c r="J686" s="108">
        <f t="shared" si="262"/>
        <v>2000</v>
      </c>
      <c r="K686" s="129"/>
    </row>
    <row r="687" spans="1:11" ht="25.5" customHeight="1">
      <c r="A687" s="28" t="s">
        <v>551</v>
      </c>
      <c r="B687" s="15" t="s">
        <v>625</v>
      </c>
      <c r="C687" s="15"/>
      <c r="D687" s="17"/>
      <c r="E687" s="13">
        <f t="shared" si="260"/>
        <v>5219.07</v>
      </c>
      <c r="F687" s="17">
        <f>SUM(F688:F692)</f>
        <v>5219.07</v>
      </c>
      <c r="G687" s="117">
        <f>G691</f>
        <v>2000</v>
      </c>
      <c r="H687" s="120"/>
      <c r="I687" s="108">
        <f t="shared" si="262"/>
        <v>1000</v>
      </c>
      <c r="J687" s="108">
        <f t="shared" si="262"/>
        <v>2000</v>
      </c>
      <c r="K687" s="129"/>
    </row>
    <row r="688" spans="1:11" ht="18" customHeight="1">
      <c r="A688" s="28" t="s">
        <v>104</v>
      </c>
      <c r="B688" s="15" t="s">
        <v>625</v>
      </c>
      <c r="C688" s="15" t="s">
        <v>42</v>
      </c>
      <c r="D688" s="17"/>
      <c r="E688" s="13">
        <f t="shared" si="260"/>
        <v>3639.03</v>
      </c>
      <c r="F688" s="17">
        <f>3825.19-186.16</f>
        <v>3639.03</v>
      </c>
      <c r="G688" s="117"/>
      <c r="H688" s="120"/>
      <c r="I688" s="108">
        <f t="shared" si="262"/>
        <v>1000</v>
      </c>
      <c r="J688" s="108">
        <f t="shared" si="262"/>
        <v>2000</v>
      </c>
      <c r="K688" s="129"/>
    </row>
    <row r="689" spans="1:11" ht="25.5" customHeight="1">
      <c r="A689" s="28" t="s">
        <v>46</v>
      </c>
      <c r="B689" s="15" t="s">
        <v>625</v>
      </c>
      <c r="C689" s="4" t="s">
        <v>47</v>
      </c>
      <c r="D689" s="17"/>
      <c r="E689" s="13">
        <f t="shared" si="260"/>
        <v>22.4</v>
      </c>
      <c r="F689" s="17">
        <v>22.4</v>
      </c>
      <c r="G689" s="117"/>
      <c r="H689" s="120"/>
      <c r="I689" s="108">
        <f t="shared" si="262"/>
        <v>1000</v>
      </c>
      <c r="J689" s="108">
        <f t="shared" si="262"/>
        <v>2000</v>
      </c>
      <c r="K689" s="129"/>
    </row>
    <row r="690" spans="1:11" ht="15" customHeight="1">
      <c r="A690" s="28" t="s">
        <v>43</v>
      </c>
      <c r="B690" s="15" t="s">
        <v>625</v>
      </c>
      <c r="C690" s="15" t="s">
        <v>44</v>
      </c>
      <c r="D690" s="17"/>
      <c r="E690" s="13">
        <f t="shared" si="260"/>
        <v>1098.99</v>
      </c>
      <c r="F690" s="17">
        <f>1155.21-56.22</f>
        <v>1098.99</v>
      </c>
      <c r="G690" s="117"/>
      <c r="H690" s="120"/>
      <c r="I690" s="107">
        <v>1000</v>
      </c>
      <c r="J690" s="107">
        <f>2000</f>
        <v>2000</v>
      </c>
      <c r="K690" s="143" t="s">
        <v>547</v>
      </c>
    </row>
    <row r="691" spans="1:11" ht="25.5" customHeight="1">
      <c r="A691" s="28" t="s">
        <v>19</v>
      </c>
      <c r="B691" s="15" t="s">
        <v>625</v>
      </c>
      <c r="C691" s="15" t="s">
        <v>20</v>
      </c>
      <c r="D691" s="17"/>
      <c r="E691" s="13">
        <f t="shared" si="260"/>
        <v>458.64999999999952</v>
      </c>
      <c r="F691" s="17">
        <f>5461.45-3639.03-22.4-1098.99-186.16-56.22</f>
        <v>458.64999999999952</v>
      </c>
      <c r="G691" s="115">
        <f t="shared" si="261"/>
        <v>2000</v>
      </c>
      <c r="H691" s="144"/>
      <c r="I691" s="145"/>
      <c r="J691" s="145"/>
      <c r="K691" s="129"/>
    </row>
    <row r="692" spans="1:11" ht="15" customHeight="1">
      <c r="A692" s="28" t="s">
        <v>21</v>
      </c>
      <c r="B692" s="15" t="s">
        <v>625</v>
      </c>
      <c r="C692" s="15" t="s">
        <v>22</v>
      </c>
      <c r="D692" s="17"/>
      <c r="E692" s="13">
        <f t="shared" si="260"/>
        <v>0</v>
      </c>
      <c r="F692" s="17">
        <v>0</v>
      </c>
      <c r="G692" s="115">
        <v>2000</v>
      </c>
      <c r="H692" s="144"/>
      <c r="I692" s="145"/>
      <c r="J692" s="145"/>
      <c r="K692" s="129"/>
    </row>
    <row r="693" spans="1:11" s="47" customFormat="1" ht="15" customHeight="1">
      <c r="A693" s="161" t="s">
        <v>489</v>
      </c>
      <c r="B693" s="39" t="s">
        <v>622</v>
      </c>
      <c r="C693" s="4"/>
      <c r="D693" s="17"/>
      <c r="E693" s="13">
        <f t="shared" si="260"/>
        <v>1088.9000000000001</v>
      </c>
      <c r="F693" s="17">
        <f>F694+F695</f>
        <v>1088.9000000000001</v>
      </c>
      <c r="G693" s="21">
        <f>G694+G730+G738+G746+G757+G762</f>
        <v>17863.609999999997</v>
      </c>
      <c r="H693" s="121"/>
      <c r="I693" s="113">
        <f t="shared" ref="I693:J693" si="263">I695+I738+I746+I751</f>
        <v>10284.649999999998</v>
      </c>
      <c r="J693" s="113">
        <f t="shared" si="263"/>
        <v>10690.529999999999</v>
      </c>
      <c r="K693" s="129"/>
    </row>
    <row r="694" spans="1:11" ht="20.25" customHeight="1">
      <c r="A694" s="28" t="s">
        <v>10</v>
      </c>
      <c r="B694" s="39" t="s">
        <v>622</v>
      </c>
      <c r="C694" s="4" t="s">
        <v>11</v>
      </c>
      <c r="D694" s="17"/>
      <c r="E694" s="13">
        <f t="shared" si="260"/>
        <v>836.33</v>
      </c>
      <c r="F694" s="17">
        <v>836.33</v>
      </c>
      <c r="G694" s="115">
        <f>G701</f>
        <v>15868.41</v>
      </c>
      <c r="H694" s="144"/>
      <c r="I694" s="145"/>
      <c r="J694" s="145"/>
      <c r="K694" s="129"/>
    </row>
    <row r="695" spans="1:11" ht="40.5" customHeight="1">
      <c r="A695" s="28" t="s">
        <v>12</v>
      </c>
      <c r="B695" s="39" t="s">
        <v>622</v>
      </c>
      <c r="C695" s="4" t="s">
        <v>13</v>
      </c>
      <c r="D695" s="17"/>
      <c r="E695" s="13">
        <f t="shared" si="260"/>
        <v>252.57</v>
      </c>
      <c r="F695" s="17">
        <v>252.57</v>
      </c>
      <c r="G695" s="17">
        <f>G701</f>
        <v>15868.41</v>
      </c>
      <c r="H695" s="120"/>
      <c r="I695" s="108">
        <f t="shared" ref="I695:J695" si="264">I696+I713+I731+I735</f>
        <v>8455.8499999999985</v>
      </c>
      <c r="J695" s="108">
        <f t="shared" si="264"/>
        <v>8861.73</v>
      </c>
      <c r="K695" s="129"/>
    </row>
    <row r="696" spans="1:11" ht="30.75" hidden="1" customHeight="1">
      <c r="A696" s="30" t="s">
        <v>301</v>
      </c>
      <c r="B696" s="39" t="s">
        <v>303</v>
      </c>
      <c r="C696" s="4"/>
      <c r="D696" s="13">
        <f>D697</f>
        <v>0</v>
      </c>
      <c r="E696" s="13">
        <f t="shared" si="260"/>
        <v>0</v>
      </c>
      <c r="F696" s="13">
        <f>F697</f>
        <v>0</v>
      </c>
      <c r="G696" s="17"/>
      <c r="H696" s="120"/>
      <c r="I696" s="108">
        <f t="shared" ref="I696:J696" si="265">I697</f>
        <v>471.6</v>
      </c>
      <c r="J696" s="108">
        <f t="shared" si="265"/>
        <v>471.6</v>
      </c>
      <c r="K696" s="129"/>
    </row>
    <row r="697" spans="1:11" ht="33" hidden="1" customHeight="1">
      <c r="A697" s="30" t="s">
        <v>301</v>
      </c>
      <c r="B697" s="39" t="s">
        <v>303</v>
      </c>
      <c r="C697" s="15"/>
      <c r="D697" s="17">
        <f>D698</f>
        <v>0</v>
      </c>
      <c r="E697" s="13">
        <f t="shared" si="260"/>
        <v>0</v>
      </c>
      <c r="F697" s="17">
        <f>F698</f>
        <v>0</v>
      </c>
      <c r="G697" s="17"/>
      <c r="H697" s="120"/>
      <c r="I697" s="108">
        <f t="shared" ref="I697:J697" si="266">SUM(I698:I700)</f>
        <v>471.6</v>
      </c>
      <c r="J697" s="108">
        <f t="shared" si="266"/>
        <v>471.6</v>
      </c>
      <c r="K697" s="129"/>
    </row>
    <row r="698" spans="1:11" ht="28.5" hidden="1" customHeight="1">
      <c r="A698" s="30" t="s">
        <v>301</v>
      </c>
      <c r="B698" s="39" t="s">
        <v>303</v>
      </c>
      <c r="C698" s="15"/>
      <c r="D698" s="17">
        <f>D699</f>
        <v>0</v>
      </c>
      <c r="E698" s="13">
        <f t="shared" si="260"/>
        <v>0</v>
      </c>
      <c r="F698" s="17">
        <f>F699</f>
        <v>0</v>
      </c>
      <c r="G698" s="17"/>
      <c r="H698" s="120"/>
      <c r="I698" s="107">
        <v>362</v>
      </c>
      <c r="J698" s="107">
        <v>362</v>
      </c>
      <c r="K698" s="129" t="s">
        <v>523</v>
      </c>
    </row>
    <row r="699" spans="1:11" ht="40.5" hidden="1" customHeight="1">
      <c r="A699" s="30" t="s">
        <v>301</v>
      </c>
      <c r="B699" s="39" t="s">
        <v>303</v>
      </c>
      <c r="C699" s="4"/>
      <c r="D699" s="17">
        <f>D700</f>
        <v>0</v>
      </c>
      <c r="E699" s="13">
        <f t="shared" si="260"/>
        <v>0</v>
      </c>
      <c r="F699" s="17">
        <f>F700</f>
        <v>0</v>
      </c>
      <c r="G699" s="17"/>
      <c r="H699" s="120"/>
      <c r="I699" s="107">
        <v>109.6</v>
      </c>
      <c r="J699" s="107">
        <v>109.6</v>
      </c>
      <c r="K699" s="129" t="s">
        <v>523</v>
      </c>
    </row>
    <row r="700" spans="1:11" ht="30" hidden="1" customHeight="1">
      <c r="A700" s="30" t="s">
        <v>626</v>
      </c>
      <c r="B700" s="39" t="s">
        <v>303</v>
      </c>
      <c r="C700" s="15"/>
      <c r="D700" s="17"/>
      <c r="E700" s="13">
        <f t="shared" si="260"/>
        <v>0</v>
      </c>
      <c r="F700" s="17">
        <v>0</v>
      </c>
      <c r="G700" s="17"/>
      <c r="H700" s="120"/>
      <c r="I700" s="128"/>
      <c r="J700" s="128"/>
      <c r="K700" s="129" t="s">
        <v>523</v>
      </c>
    </row>
    <row r="701" spans="1:11" ht="25.5" hidden="1" customHeight="1">
      <c r="A701" s="28" t="s">
        <v>301</v>
      </c>
      <c r="B701" s="15" t="s">
        <v>303</v>
      </c>
      <c r="C701" s="15"/>
      <c r="D701" s="17"/>
      <c r="E701" s="13">
        <f t="shared" si="260"/>
        <v>0</v>
      </c>
      <c r="F701" s="17">
        <f t="shared" ref="F701:F712" si="267">F702</f>
        <v>0</v>
      </c>
      <c r="G701" s="115">
        <f>G702+G721</f>
        <v>15868.41</v>
      </c>
      <c r="H701" s="144"/>
      <c r="I701" s="145"/>
      <c r="J701" s="145"/>
      <c r="K701" s="129"/>
    </row>
    <row r="702" spans="1:11" ht="25.5" hidden="1" customHeight="1">
      <c r="A702" s="28" t="s">
        <v>301</v>
      </c>
      <c r="B702" s="15" t="s">
        <v>303</v>
      </c>
      <c r="C702" s="7"/>
      <c r="D702" s="17">
        <f t="shared" ref="D702:D707" si="268">D703</f>
        <v>0</v>
      </c>
      <c r="E702" s="13">
        <f t="shared" si="260"/>
        <v>0</v>
      </c>
      <c r="F702" s="17">
        <f t="shared" si="267"/>
        <v>0</v>
      </c>
      <c r="G702" s="115">
        <f>G703</f>
        <v>8110.23</v>
      </c>
      <c r="H702" s="144"/>
      <c r="I702" s="145"/>
      <c r="J702" s="145"/>
      <c r="K702" s="129"/>
    </row>
    <row r="703" spans="1:11" ht="25.5" hidden="1" customHeight="1">
      <c r="A703" s="28" t="s">
        <v>301</v>
      </c>
      <c r="B703" s="15" t="s">
        <v>303</v>
      </c>
      <c r="C703" s="7"/>
      <c r="D703" s="17">
        <f t="shared" si="268"/>
        <v>0</v>
      </c>
      <c r="E703" s="13">
        <f t="shared" si="260"/>
        <v>0</v>
      </c>
      <c r="F703" s="17">
        <f t="shared" si="267"/>
        <v>0</v>
      </c>
      <c r="G703" s="115">
        <f>G704+G707</f>
        <v>8110.23</v>
      </c>
      <c r="H703" s="144"/>
      <c r="I703" s="145"/>
      <c r="J703" s="145"/>
      <c r="K703" s="129"/>
    </row>
    <row r="704" spans="1:11" ht="25.5" hidden="1" customHeight="1">
      <c r="A704" s="28" t="s">
        <v>301</v>
      </c>
      <c r="B704" s="15" t="s">
        <v>303</v>
      </c>
      <c r="C704" s="7"/>
      <c r="D704" s="17">
        <f t="shared" si="268"/>
        <v>0</v>
      </c>
      <c r="E704" s="13">
        <f t="shared" si="260"/>
        <v>0</v>
      </c>
      <c r="F704" s="13">
        <f t="shared" si="267"/>
        <v>0</v>
      </c>
      <c r="G704" s="115">
        <f>SUBTOTAL(9,G705:G706)</f>
        <v>5310.2</v>
      </c>
      <c r="H704" s="144"/>
      <c r="I704" s="145"/>
      <c r="J704" s="145"/>
      <c r="K704" s="129"/>
    </row>
    <row r="705" spans="1:11" ht="27.75" hidden="1" customHeight="1">
      <c r="A705" s="30" t="s">
        <v>301</v>
      </c>
      <c r="B705" s="39" t="s">
        <v>303</v>
      </c>
      <c r="C705" s="4"/>
      <c r="D705" s="17">
        <f t="shared" si="268"/>
        <v>0</v>
      </c>
      <c r="E705" s="13">
        <f t="shared" si="260"/>
        <v>0</v>
      </c>
      <c r="F705" s="17">
        <f t="shared" si="267"/>
        <v>0</v>
      </c>
      <c r="G705" s="115">
        <f>4513.2-434.7</f>
        <v>4078.5</v>
      </c>
      <c r="H705" s="144"/>
      <c r="I705" s="145"/>
      <c r="J705" s="145"/>
      <c r="K705" s="129"/>
    </row>
    <row r="706" spans="1:11" ht="38.25" hidden="1" customHeight="1">
      <c r="A706" s="30" t="s">
        <v>301</v>
      </c>
      <c r="B706" s="39" t="s">
        <v>303</v>
      </c>
      <c r="C706" s="4"/>
      <c r="D706" s="17">
        <f t="shared" si="268"/>
        <v>0</v>
      </c>
      <c r="E706" s="13">
        <f t="shared" si="260"/>
        <v>0</v>
      </c>
      <c r="F706" s="17">
        <f t="shared" si="267"/>
        <v>0</v>
      </c>
      <c r="G706" s="115">
        <f>1363-131.3</f>
        <v>1231.7</v>
      </c>
      <c r="H706" s="144"/>
      <c r="I706" s="145"/>
      <c r="J706" s="145"/>
      <c r="K706" s="129"/>
    </row>
    <row r="707" spans="1:11" ht="25.5" hidden="1" customHeight="1">
      <c r="A707" s="30" t="s">
        <v>301</v>
      </c>
      <c r="B707" s="39" t="s">
        <v>303</v>
      </c>
      <c r="C707" s="4"/>
      <c r="D707" s="17">
        <f t="shared" si="268"/>
        <v>0</v>
      </c>
      <c r="E707" s="13">
        <f t="shared" si="260"/>
        <v>0</v>
      </c>
      <c r="F707" s="17">
        <f t="shared" si="267"/>
        <v>0</v>
      </c>
      <c r="G707" s="115">
        <f>SUBTOTAL(9,G708:G712)</f>
        <v>2800.0299999999997</v>
      </c>
      <c r="H707" s="144"/>
      <c r="I707" s="145"/>
      <c r="J707" s="145"/>
      <c r="K707" s="129"/>
    </row>
    <row r="708" spans="1:11" ht="38.25" hidden="1" customHeight="1">
      <c r="A708" s="30" t="s">
        <v>301</v>
      </c>
      <c r="B708" s="39" t="s">
        <v>303</v>
      </c>
      <c r="C708" s="15"/>
      <c r="D708" s="17"/>
      <c r="E708" s="13">
        <f t="shared" si="260"/>
        <v>0</v>
      </c>
      <c r="F708" s="17">
        <f t="shared" si="267"/>
        <v>0</v>
      </c>
      <c r="G708" s="115"/>
      <c r="H708" s="144"/>
      <c r="I708" s="145"/>
      <c r="J708" s="145"/>
      <c r="K708" s="129"/>
    </row>
    <row r="709" spans="1:11" ht="25.5" hidden="1" customHeight="1">
      <c r="A709" s="30" t="s">
        <v>301</v>
      </c>
      <c r="B709" s="39" t="s">
        <v>303</v>
      </c>
      <c r="C709" s="15"/>
      <c r="D709" s="17"/>
      <c r="E709" s="13">
        <f t="shared" si="260"/>
        <v>0</v>
      </c>
      <c r="F709" s="17">
        <f t="shared" si="267"/>
        <v>0</v>
      </c>
      <c r="G709" s="119">
        <f>95+1085.2+200+1115</f>
        <v>2495.1999999999998</v>
      </c>
      <c r="H709" s="144"/>
      <c r="I709" s="145"/>
      <c r="J709" s="145"/>
      <c r="K709" s="129"/>
    </row>
    <row r="710" spans="1:11" ht="25.5" hidden="1" customHeight="1">
      <c r="A710" s="30" t="s">
        <v>301</v>
      </c>
      <c r="B710" s="39" t="s">
        <v>303</v>
      </c>
      <c r="C710" s="15"/>
      <c r="D710" s="17">
        <f>D711</f>
        <v>0</v>
      </c>
      <c r="E710" s="13">
        <f t="shared" si="260"/>
        <v>0</v>
      </c>
      <c r="F710" s="17">
        <f t="shared" si="267"/>
        <v>0</v>
      </c>
      <c r="G710" s="115">
        <f>16.3+35.1</f>
        <v>51.400000000000006</v>
      </c>
      <c r="H710" s="144"/>
      <c r="I710" s="145"/>
      <c r="J710" s="145"/>
      <c r="K710" s="129"/>
    </row>
    <row r="711" spans="1:11" ht="16.5" hidden="1" customHeight="1">
      <c r="A711" s="30" t="s">
        <v>565</v>
      </c>
      <c r="B711" s="39" t="s">
        <v>303</v>
      </c>
      <c r="C711" s="7"/>
      <c r="D711" s="17">
        <f>D712</f>
        <v>0</v>
      </c>
      <c r="E711" s="13">
        <f t="shared" si="260"/>
        <v>0</v>
      </c>
      <c r="F711" s="17">
        <f t="shared" si="267"/>
        <v>0</v>
      </c>
      <c r="G711" s="115">
        <v>53.43</v>
      </c>
      <c r="H711" s="144"/>
      <c r="I711" s="145"/>
      <c r="J711" s="145"/>
      <c r="K711" s="129"/>
    </row>
    <row r="712" spans="1:11" ht="17.25" hidden="1" customHeight="1">
      <c r="A712" s="30" t="s">
        <v>301</v>
      </c>
      <c r="B712" s="39" t="s">
        <v>303</v>
      </c>
      <c r="C712" s="15"/>
      <c r="D712" s="17"/>
      <c r="E712" s="13">
        <f t="shared" si="260"/>
        <v>0</v>
      </c>
      <c r="F712" s="17">
        <f t="shared" si="267"/>
        <v>0</v>
      </c>
      <c r="G712" s="115">
        <v>200</v>
      </c>
      <c r="H712" s="144"/>
      <c r="I712" s="145"/>
      <c r="J712" s="145"/>
      <c r="K712" s="129"/>
    </row>
    <row r="713" spans="1:11" ht="17.25" hidden="1" customHeight="1">
      <c r="A713" s="30" t="s">
        <v>301</v>
      </c>
      <c r="B713" s="39" t="s">
        <v>303</v>
      </c>
      <c r="C713" s="15"/>
      <c r="D713" s="17">
        <f>D714</f>
        <v>0</v>
      </c>
      <c r="E713" s="13">
        <f t="shared" si="260"/>
        <v>0</v>
      </c>
      <c r="F713" s="17">
        <v>0</v>
      </c>
      <c r="G713" s="17"/>
      <c r="H713" s="120"/>
      <c r="I713" s="108">
        <f t="shared" ref="I713:J714" si="269">I714</f>
        <v>7984.2499999999991</v>
      </c>
      <c r="J713" s="108">
        <f t="shared" si="269"/>
        <v>8390.1299999999992</v>
      </c>
      <c r="K713" s="129"/>
    </row>
    <row r="714" spans="1:11" ht="27" hidden="1" customHeight="1">
      <c r="A714" s="30" t="s">
        <v>301</v>
      </c>
      <c r="B714" s="39" t="s">
        <v>303</v>
      </c>
      <c r="C714" s="15"/>
      <c r="D714" s="17">
        <f>D715</f>
        <v>0</v>
      </c>
      <c r="E714" s="13">
        <f t="shared" ref="E714:E745" si="270">F714-D714</f>
        <v>0</v>
      </c>
      <c r="F714" s="17">
        <f>F715</f>
        <v>0</v>
      </c>
      <c r="G714" s="17"/>
      <c r="H714" s="120"/>
      <c r="I714" s="108">
        <f t="shared" si="269"/>
        <v>7984.2499999999991</v>
      </c>
      <c r="J714" s="108">
        <f t="shared" si="269"/>
        <v>8390.1299999999992</v>
      </c>
      <c r="K714" s="129"/>
    </row>
    <row r="715" spans="1:11" ht="27" hidden="1" customHeight="1">
      <c r="A715" s="30" t="s">
        <v>301</v>
      </c>
      <c r="B715" s="39" t="s">
        <v>303</v>
      </c>
      <c r="C715" s="15"/>
      <c r="D715" s="17">
        <f>D716</f>
        <v>0</v>
      </c>
      <c r="E715" s="13">
        <f t="shared" si="270"/>
        <v>0</v>
      </c>
      <c r="F715" s="17">
        <f>F716</f>
        <v>0</v>
      </c>
      <c r="G715" s="17"/>
      <c r="H715" s="120"/>
      <c r="I715" s="108">
        <f t="shared" ref="I715:J715" si="271">SUM(I716:I720)</f>
        <v>7984.2499999999991</v>
      </c>
      <c r="J715" s="108">
        <f t="shared" si="271"/>
        <v>8390.1299999999992</v>
      </c>
      <c r="K715" s="129"/>
    </row>
    <row r="716" spans="1:11" ht="24" hidden="1" customHeight="1">
      <c r="A716" s="30" t="s">
        <v>301</v>
      </c>
      <c r="B716" s="39" t="s">
        <v>303</v>
      </c>
      <c r="C716" s="15"/>
      <c r="D716" s="13">
        <f>D717</f>
        <v>0</v>
      </c>
      <c r="E716" s="13">
        <f t="shared" si="270"/>
        <v>0</v>
      </c>
      <c r="F716" s="17">
        <v>0</v>
      </c>
      <c r="G716" s="17"/>
      <c r="H716" s="120"/>
      <c r="I716" s="107">
        <f t="shared" ref="I716:J716" si="272">6239.41-167.27</f>
        <v>6072.1399999999994</v>
      </c>
      <c r="J716" s="107">
        <f t="shared" si="272"/>
        <v>6072.1399999999994</v>
      </c>
      <c r="K716" s="129"/>
    </row>
    <row r="717" spans="1:11" ht="27" customHeight="1">
      <c r="A717" s="30" t="s">
        <v>301</v>
      </c>
      <c r="B717" s="39" t="s">
        <v>303</v>
      </c>
      <c r="C717" s="15"/>
      <c r="D717" s="17"/>
      <c r="E717" s="13">
        <f t="shared" si="270"/>
        <v>3488.63</v>
      </c>
      <c r="F717" s="17">
        <f>F718</f>
        <v>3488.63</v>
      </c>
      <c r="G717" s="17"/>
      <c r="H717" s="120"/>
      <c r="I717" s="107">
        <v>78</v>
      </c>
      <c r="J717" s="107">
        <v>78</v>
      </c>
      <c r="K717" s="129"/>
    </row>
    <row r="718" spans="1:11" ht="19.5" customHeight="1">
      <c r="A718" s="28" t="s">
        <v>576</v>
      </c>
      <c r="B718" s="15" t="s">
        <v>599</v>
      </c>
      <c r="C718" s="15"/>
      <c r="D718" s="17"/>
      <c r="E718" s="13">
        <f t="shared" si="270"/>
        <v>3488.63</v>
      </c>
      <c r="F718" s="17">
        <f>F719</f>
        <v>3488.63</v>
      </c>
      <c r="G718" s="17"/>
      <c r="H718" s="120"/>
      <c r="I718" s="107">
        <f t="shared" ref="I718:J718" si="273">1884.3-50.51</f>
        <v>1833.79</v>
      </c>
      <c r="J718" s="107">
        <f t="shared" si="273"/>
        <v>1833.79</v>
      </c>
      <c r="K718" s="129"/>
    </row>
    <row r="719" spans="1:11" ht="27" customHeight="1">
      <c r="A719" s="166" t="s">
        <v>208</v>
      </c>
      <c r="B719" s="15" t="s">
        <v>600</v>
      </c>
      <c r="C719" s="15"/>
      <c r="D719" s="17"/>
      <c r="E719" s="13">
        <f t="shared" si="270"/>
        <v>3488.63</v>
      </c>
      <c r="F719" s="17">
        <f>F720</f>
        <v>3488.63</v>
      </c>
      <c r="G719" s="17"/>
      <c r="H719" s="120"/>
      <c r="I719" s="107"/>
      <c r="J719" s="107">
        <f t="shared" ref="J719" si="274">8607.91-6072.14-78-1833.79-0.32-217.78</f>
        <v>405.87999999999954</v>
      </c>
      <c r="K719" s="129"/>
    </row>
    <row r="720" spans="1:11" ht="15" customHeight="1">
      <c r="A720" s="35" t="s">
        <v>208</v>
      </c>
      <c r="B720" s="15" t="s">
        <v>600</v>
      </c>
      <c r="C720" s="15" t="s">
        <v>209</v>
      </c>
      <c r="D720" s="17"/>
      <c r="E720" s="13">
        <f t="shared" si="270"/>
        <v>3488.63</v>
      </c>
      <c r="F720" s="17">
        <f>1104+1400+170.38+864.25-50</f>
        <v>3488.63</v>
      </c>
      <c r="G720" s="17"/>
      <c r="H720" s="120"/>
      <c r="I720" s="107">
        <v>0.32</v>
      </c>
      <c r="J720" s="107">
        <v>0.32</v>
      </c>
      <c r="K720" s="129"/>
    </row>
    <row r="721" spans="1:11" ht="15" hidden="1" customHeight="1">
      <c r="A721" s="14" t="s">
        <v>121</v>
      </c>
      <c r="B721" s="39" t="s">
        <v>352</v>
      </c>
      <c r="C721" s="4"/>
      <c r="D721" s="13">
        <f>D722</f>
        <v>0</v>
      </c>
      <c r="E721" s="13">
        <f t="shared" si="270"/>
        <v>0</v>
      </c>
      <c r="F721" s="13">
        <f>F722</f>
        <v>0</v>
      </c>
      <c r="G721" s="115">
        <f>G722</f>
        <v>7758.18</v>
      </c>
      <c r="H721" s="144"/>
      <c r="I721" s="145"/>
      <c r="J721" s="145"/>
      <c r="K721" s="129"/>
    </row>
    <row r="722" spans="1:11" ht="25.5" hidden="1" customHeight="1">
      <c r="A722" s="14" t="s">
        <v>121</v>
      </c>
      <c r="B722" s="39" t="s">
        <v>352</v>
      </c>
      <c r="C722" s="15"/>
      <c r="D722" s="17">
        <f>D723</f>
        <v>0</v>
      </c>
      <c r="E722" s="13">
        <f t="shared" si="270"/>
        <v>0</v>
      </c>
      <c r="F722" s="17">
        <f>F723</f>
        <v>0</v>
      </c>
      <c r="G722" s="115">
        <f>G723+G726</f>
        <v>7758.18</v>
      </c>
      <c r="H722" s="144"/>
      <c r="I722" s="145"/>
      <c r="J722" s="145"/>
      <c r="K722" s="129"/>
    </row>
    <row r="723" spans="1:11" ht="25.5" customHeight="1">
      <c r="A723" s="14" t="s">
        <v>121</v>
      </c>
      <c r="B723" s="39" t="s">
        <v>352</v>
      </c>
      <c r="C723" s="15"/>
      <c r="D723" s="17">
        <f>D724</f>
        <v>0</v>
      </c>
      <c r="E723" s="13">
        <f t="shared" si="270"/>
        <v>0</v>
      </c>
      <c r="F723" s="17">
        <f>F724</f>
        <v>0</v>
      </c>
      <c r="G723" s="115">
        <f>SUBTOTAL(9,G724:G725)</f>
        <v>7486.7000000000007</v>
      </c>
      <c r="H723" s="144"/>
      <c r="I723" s="145"/>
      <c r="J723" s="145"/>
      <c r="K723" s="129"/>
    </row>
    <row r="724" spans="1:11" ht="13.5" customHeight="1">
      <c r="A724" s="14" t="s">
        <v>121</v>
      </c>
      <c r="B724" s="39" t="s">
        <v>352</v>
      </c>
      <c r="C724" s="4"/>
      <c r="D724" s="17">
        <f>D725</f>
        <v>0</v>
      </c>
      <c r="E724" s="13">
        <f t="shared" si="270"/>
        <v>0</v>
      </c>
      <c r="F724" s="17">
        <f>F725</f>
        <v>0</v>
      </c>
      <c r="G724" s="115">
        <f>6358.3-563</f>
        <v>5795.3</v>
      </c>
      <c r="H724" s="144"/>
      <c r="I724" s="145"/>
      <c r="J724" s="145"/>
      <c r="K724" s="129"/>
    </row>
    <row r="725" spans="1:11" ht="41.25" hidden="1" customHeight="1">
      <c r="A725" s="28" t="s">
        <v>121</v>
      </c>
      <c r="B725" s="15" t="s">
        <v>352</v>
      </c>
      <c r="C725" s="15"/>
      <c r="D725" s="17">
        <f>D727</f>
        <v>0</v>
      </c>
      <c r="E725" s="13">
        <f t="shared" si="270"/>
        <v>0</v>
      </c>
      <c r="F725" s="17">
        <f>F726</f>
        <v>0</v>
      </c>
      <c r="G725" s="115">
        <f>1861.4-170</f>
        <v>1691.4</v>
      </c>
      <c r="H725" s="144"/>
      <c r="I725" s="145"/>
      <c r="J725" s="145"/>
      <c r="K725" s="129"/>
    </row>
    <row r="726" spans="1:11" ht="25.5" hidden="1" customHeight="1">
      <c r="A726" s="28" t="s">
        <v>121</v>
      </c>
      <c r="B726" s="15" t="s">
        <v>352</v>
      </c>
      <c r="C726" s="15"/>
      <c r="D726" s="17">
        <f>D728+D730</f>
        <v>0</v>
      </c>
      <c r="E726" s="13">
        <f t="shared" si="270"/>
        <v>0</v>
      </c>
      <c r="F726" s="17">
        <f>F727+F730</f>
        <v>0</v>
      </c>
      <c r="G726" s="115">
        <f>SUBTOTAL(9,G727:G729)</f>
        <v>271.48</v>
      </c>
      <c r="H726" s="144"/>
      <c r="I726" s="145"/>
      <c r="J726" s="145"/>
      <c r="K726" s="129"/>
    </row>
    <row r="727" spans="1:11" ht="25.5" hidden="1" customHeight="1">
      <c r="A727" s="28" t="s">
        <v>121</v>
      </c>
      <c r="B727" s="15" t="s">
        <v>352</v>
      </c>
      <c r="C727" s="7"/>
      <c r="D727" s="17">
        <f>D729</f>
        <v>0</v>
      </c>
      <c r="E727" s="13">
        <f t="shared" si="270"/>
        <v>0</v>
      </c>
      <c r="F727" s="13">
        <f t="shared" ref="F727:F735" si="275">F728</f>
        <v>0</v>
      </c>
      <c r="G727" s="115"/>
      <c r="H727" s="144"/>
      <c r="I727" s="145"/>
      <c r="J727" s="145"/>
      <c r="K727" s="129"/>
    </row>
    <row r="728" spans="1:11" ht="25.5" hidden="1" customHeight="1">
      <c r="A728" s="14" t="s">
        <v>121</v>
      </c>
      <c r="B728" s="39" t="s">
        <v>352</v>
      </c>
      <c r="C728" s="4"/>
      <c r="D728" s="17">
        <f>D729</f>
        <v>0</v>
      </c>
      <c r="E728" s="13">
        <f t="shared" si="270"/>
        <v>0</v>
      </c>
      <c r="F728" s="17">
        <f t="shared" si="275"/>
        <v>0</v>
      </c>
      <c r="G728" s="115">
        <f>45.48+136+90</f>
        <v>271.48</v>
      </c>
      <c r="H728" s="144"/>
      <c r="I728" s="145"/>
      <c r="J728" s="145"/>
      <c r="K728" s="129"/>
    </row>
    <row r="729" spans="1:11" ht="15" hidden="1" customHeight="1">
      <c r="A729" s="14" t="s">
        <v>121</v>
      </c>
      <c r="B729" s="39" t="s">
        <v>352</v>
      </c>
      <c r="C729" s="4"/>
      <c r="D729" s="17">
        <f>D730</f>
        <v>0</v>
      </c>
      <c r="E729" s="13">
        <f t="shared" si="270"/>
        <v>0</v>
      </c>
      <c r="F729" s="17">
        <f t="shared" si="275"/>
        <v>0</v>
      </c>
      <c r="G729" s="115"/>
      <c r="H729" s="144"/>
      <c r="I729" s="145"/>
      <c r="J729" s="145"/>
      <c r="K729" s="129"/>
    </row>
    <row r="730" spans="1:11" ht="38.25" hidden="1" customHeight="1">
      <c r="A730" s="14" t="s">
        <v>121</v>
      </c>
      <c r="B730" s="39" t="s">
        <v>352</v>
      </c>
      <c r="C730" s="4"/>
      <c r="D730" s="17">
        <f>D731</f>
        <v>0</v>
      </c>
      <c r="E730" s="13">
        <f t="shared" si="270"/>
        <v>0</v>
      </c>
      <c r="F730" s="17">
        <f t="shared" si="275"/>
        <v>0</v>
      </c>
      <c r="G730" s="115">
        <f>G731</f>
        <v>0</v>
      </c>
      <c r="H730" s="144"/>
      <c r="I730" s="145"/>
      <c r="J730" s="145"/>
      <c r="K730" s="129"/>
    </row>
    <row r="731" spans="1:11" ht="17.25" hidden="1" customHeight="1">
      <c r="A731" s="14" t="s">
        <v>121</v>
      </c>
      <c r="B731" s="39" t="s">
        <v>352</v>
      </c>
      <c r="C731" s="15"/>
      <c r="D731" s="17"/>
      <c r="E731" s="13">
        <f t="shared" si="270"/>
        <v>0</v>
      </c>
      <c r="F731" s="17">
        <f t="shared" si="275"/>
        <v>0</v>
      </c>
      <c r="G731" s="17">
        <f t="shared" ref="G731:G732" si="276">G732</f>
        <v>0</v>
      </c>
      <c r="H731" s="120"/>
      <c r="I731" s="108">
        <f t="shared" ref="I731:J733" si="277">I732</f>
        <v>0</v>
      </c>
      <c r="J731" s="108">
        <f t="shared" si="277"/>
        <v>0</v>
      </c>
      <c r="K731" s="129"/>
    </row>
    <row r="732" spans="1:11" ht="25.5" hidden="1" customHeight="1">
      <c r="A732" s="14" t="s">
        <v>121</v>
      </c>
      <c r="B732" s="39" t="s">
        <v>352</v>
      </c>
      <c r="C732" s="15"/>
      <c r="D732" s="17"/>
      <c r="E732" s="13">
        <f t="shared" si="270"/>
        <v>0</v>
      </c>
      <c r="F732" s="17">
        <f t="shared" si="275"/>
        <v>0</v>
      </c>
      <c r="G732" s="17">
        <f t="shared" si="276"/>
        <v>0</v>
      </c>
      <c r="H732" s="120"/>
      <c r="I732" s="108">
        <f t="shared" si="277"/>
        <v>0</v>
      </c>
      <c r="J732" s="108">
        <f t="shared" si="277"/>
        <v>0</v>
      </c>
      <c r="K732" s="129"/>
    </row>
    <row r="733" spans="1:11" ht="38.25" hidden="1" customHeight="1">
      <c r="A733" s="28" t="s">
        <v>121</v>
      </c>
      <c r="B733" s="15" t="s">
        <v>352</v>
      </c>
      <c r="C733" s="15"/>
      <c r="D733" s="17">
        <f>D734</f>
        <v>0</v>
      </c>
      <c r="E733" s="13">
        <f t="shared" si="270"/>
        <v>0</v>
      </c>
      <c r="F733" s="17">
        <f t="shared" si="275"/>
        <v>0</v>
      </c>
      <c r="G733" s="17">
        <f>G734</f>
        <v>0</v>
      </c>
      <c r="H733" s="120"/>
      <c r="I733" s="108">
        <f t="shared" si="277"/>
        <v>0</v>
      </c>
      <c r="J733" s="108">
        <f t="shared" si="277"/>
        <v>0</v>
      </c>
      <c r="K733" s="129"/>
    </row>
    <row r="734" spans="1:11" ht="25.5" hidden="1" customHeight="1">
      <c r="A734" s="28" t="s">
        <v>121</v>
      </c>
      <c r="B734" s="15" t="s">
        <v>352</v>
      </c>
      <c r="C734" s="7"/>
      <c r="D734" s="17">
        <f>D738</f>
        <v>0</v>
      </c>
      <c r="E734" s="13">
        <f t="shared" si="270"/>
        <v>0</v>
      </c>
      <c r="F734" s="17">
        <f t="shared" si="275"/>
        <v>0</v>
      </c>
      <c r="G734" s="17"/>
      <c r="H734" s="120"/>
      <c r="I734" s="107"/>
      <c r="J734" s="107"/>
      <c r="K734" s="129"/>
    </row>
    <row r="735" spans="1:11" ht="25.5" hidden="1" customHeight="1">
      <c r="A735" s="14" t="s">
        <v>121</v>
      </c>
      <c r="B735" s="39" t="s">
        <v>352</v>
      </c>
      <c r="C735" s="15"/>
      <c r="D735" s="17"/>
      <c r="E735" s="13">
        <f t="shared" si="270"/>
        <v>0</v>
      </c>
      <c r="F735" s="17">
        <f t="shared" si="275"/>
        <v>0</v>
      </c>
      <c r="G735" s="117"/>
      <c r="H735" s="120"/>
      <c r="I735" s="108">
        <f t="shared" ref="I735:J736" si="278">I736</f>
        <v>0</v>
      </c>
      <c r="J735" s="108">
        <f t="shared" si="278"/>
        <v>0</v>
      </c>
      <c r="K735" s="129"/>
    </row>
    <row r="736" spans="1:11" ht="15" hidden="1" customHeight="1">
      <c r="A736" s="14" t="s">
        <v>121</v>
      </c>
      <c r="B736" s="39" t="s">
        <v>352</v>
      </c>
      <c r="C736" s="15"/>
      <c r="D736" s="17">
        <f>D737</f>
        <v>0</v>
      </c>
      <c r="E736" s="13">
        <f t="shared" si="270"/>
        <v>0</v>
      </c>
      <c r="F736" s="17">
        <v>0</v>
      </c>
      <c r="G736" s="117"/>
      <c r="H736" s="120"/>
      <c r="I736" s="108">
        <f t="shared" si="278"/>
        <v>0</v>
      </c>
      <c r="J736" s="108">
        <f t="shared" si="278"/>
        <v>0</v>
      </c>
      <c r="K736" s="129"/>
    </row>
    <row r="737" spans="1:11" ht="25.5" hidden="1" customHeight="1">
      <c r="A737" s="14" t="s">
        <v>121</v>
      </c>
      <c r="B737" s="39" t="s">
        <v>352</v>
      </c>
      <c r="C737" s="15"/>
      <c r="D737" s="17">
        <f>D738</f>
        <v>0</v>
      </c>
      <c r="E737" s="13">
        <f t="shared" si="270"/>
        <v>0</v>
      </c>
      <c r="F737" s="17">
        <f>F738</f>
        <v>0</v>
      </c>
      <c r="G737" s="117"/>
      <c r="H737" s="120"/>
      <c r="I737" s="128">
        <v>0</v>
      </c>
      <c r="J737" s="128">
        <v>0</v>
      </c>
      <c r="K737" s="129" t="s">
        <v>523</v>
      </c>
    </row>
    <row r="738" spans="1:11" ht="25.5" hidden="1" customHeight="1">
      <c r="A738" s="14" t="s">
        <v>121</v>
      </c>
      <c r="B738" s="39" t="s">
        <v>352</v>
      </c>
      <c r="C738" s="15"/>
      <c r="D738" s="17">
        <f>D739</f>
        <v>0</v>
      </c>
      <c r="E738" s="13">
        <f t="shared" si="270"/>
        <v>0</v>
      </c>
      <c r="F738" s="17">
        <f>F739</f>
        <v>0</v>
      </c>
      <c r="G738" s="17">
        <f t="shared" ref="G738:G740" si="279">G739</f>
        <v>1433.6000000000001</v>
      </c>
      <c r="H738" s="120"/>
      <c r="I738" s="108">
        <f t="shared" ref="I738:J740" si="280">I739</f>
        <v>1757.4</v>
      </c>
      <c r="J738" s="108">
        <f t="shared" si="280"/>
        <v>1757.4</v>
      </c>
      <c r="K738" s="129"/>
    </row>
    <row r="739" spans="1:11" ht="15" hidden="1" customHeight="1">
      <c r="A739" s="14" t="s">
        <v>121</v>
      </c>
      <c r="B739" s="39" t="s">
        <v>352</v>
      </c>
      <c r="C739" s="15"/>
      <c r="D739" s="13">
        <f>D740</f>
        <v>0</v>
      </c>
      <c r="E739" s="13">
        <f t="shared" si="270"/>
        <v>0</v>
      </c>
      <c r="F739" s="17">
        <v>0</v>
      </c>
      <c r="G739" s="17">
        <f t="shared" si="279"/>
        <v>1433.6000000000001</v>
      </c>
      <c r="H739" s="120"/>
      <c r="I739" s="108">
        <f t="shared" si="280"/>
        <v>1757.4</v>
      </c>
      <c r="J739" s="108">
        <f t="shared" si="280"/>
        <v>1757.4</v>
      </c>
      <c r="K739" s="129"/>
    </row>
    <row r="740" spans="1:11" ht="25.5" customHeight="1">
      <c r="A740" s="14" t="s">
        <v>121</v>
      </c>
      <c r="B740" s="39" t="s">
        <v>352</v>
      </c>
      <c r="C740" s="15"/>
      <c r="D740" s="17"/>
      <c r="E740" s="13">
        <f t="shared" si="270"/>
        <v>2000</v>
      </c>
      <c r="F740" s="17">
        <f>F741</f>
        <v>2000</v>
      </c>
      <c r="G740" s="17">
        <f t="shared" si="279"/>
        <v>1433.6000000000001</v>
      </c>
      <c r="H740" s="120"/>
      <c r="I740" s="108">
        <f t="shared" si="280"/>
        <v>1757.4</v>
      </c>
      <c r="J740" s="108">
        <f t="shared" si="280"/>
        <v>1757.4</v>
      </c>
      <c r="K740" s="129"/>
    </row>
    <row r="741" spans="1:11" ht="15" customHeight="1">
      <c r="A741" s="28" t="s">
        <v>576</v>
      </c>
      <c r="B741" s="15" t="s">
        <v>597</v>
      </c>
      <c r="C741" s="7"/>
      <c r="D741" s="17"/>
      <c r="E741" s="13">
        <f t="shared" si="270"/>
        <v>2000</v>
      </c>
      <c r="F741" s="17">
        <f>F742</f>
        <v>2000</v>
      </c>
      <c r="G741" s="17">
        <f>SUBTOTAL(9,G742:G745)</f>
        <v>1433.6000000000001</v>
      </c>
      <c r="H741" s="120"/>
      <c r="I741" s="108">
        <f t="shared" ref="I741:J741" si="281">SUM(I742:I745)</f>
        <v>1757.4</v>
      </c>
      <c r="J741" s="108">
        <f t="shared" si="281"/>
        <v>1757.4</v>
      </c>
      <c r="K741" s="129"/>
    </row>
    <row r="742" spans="1:11" ht="26.25" customHeight="1">
      <c r="A742" s="28" t="s">
        <v>207</v>
      </c>
      <c r="B742" s="15" t="s">
        <v>598</v>
      </c>
      <c r="C742" s="7"/>
      <c r="D742" s="17"/>
      <c r="E742" s="13">
        <f t="shared" si="270"/>
        <v>2000</v>
      </c>
      <c r="F742" s="17">
        <f>F743</f>
        <v>2000</v>
      </c>
      <c r="G742" s="117">
        <v>1082</v>
      </c>
      <c r="H742" s="120"/>
      <c r="I742" s="107">
        <v>1128.31</v>
      </c>
      <c r="J742" s="107">
        <v>1128.31</v>
      </c>
      <c r="K742" s="129" t="s">
        <v>523</v>
      </c>
    </row>
    <row r="743" spans="1:11" ht="26.25" customHeight="1">
      <c r="A743" s="35" t="s">
        <v>208</v>
      </c>
      <c r="B743" s="15" t="s">
        <v>598</v>
      </c>
      <c r="C743" s="15" t="s">
        <v>209</v>
      </c>
      <c r="D743" s="17"/>
      <c r="E743" s="13">
        <f t="shared" si="270"/>
        <v>2000</v>
      </c>
      <c r="F743" s="17">
        <f>2000</f>
        <v>2000</v>
      </c>
      <c r="G743" s="117">
        <v>3</v>
      </c>
      <c r="H743" s="120"/>
      <c r="I743" s="107">
        <v>22</v>
      </c>
      <c r="J743" s="107">
        <v>22</v>
      </c>
      <c r="K743" s="129" t="s">
        <v>523</v>
      </c>
    </row>
    <row r="744" spans="1:11" ht="40.5" customHeight="1">
      <c r="A744" s="28" t="s">
        <v>636</v>
      </c>
      <c r="B744" s="15" t="s">
        <v>634</v>
      </c>
      <c r="C744" s="15"/>
      <c r="D744" s="17"/>
      <c r="E744" s="13">
        <f t="shared" si="270"/>
        <v>39585.4</v>
      </c>
      <c r="F744" s="17">
        <f>F745</f>
        <v>39585.4</v>
      </c>
      <c r="G744" s="117">
        <v>326.89999999999998</v>
      </c>
      <c r="H744" s="120"/>
      <c r="I744" s="107">
        <v>340.75</v>
      </c>
      <c r="J744" s="107">
        <v>340.75</v>
      </c>
      <c r="K744" s="129" t="s">
        <v>523</v>
      </c>
    </row>
    <row r="745" spans="1:11" ht="30.75" customHeight="1">
      <c r="A745" s="28" t="s">
        <v>636</v>
      </c>
      <c r="B745" s="15" t="s">
        <v>634</v>
      </c>
      <c r="C745" s="15"/>
      <c r="D745" s="17"/>
      <c r="E745" s="13">
        <f t="shared" si="270"/>
        <v>39585.4</v>
      </c>
      <c r="F745" s="17">
        <f>F746</f>
        <v>39585.4</v>
      </c>
      <c r="G745" s="108">
        <f>110.7-89</f>
        <v>21.700000000000003</v>
      </c>
      <c r="H745" s="120"/>
      <c r="I745" s="107">
        <f t="shared" ref="I745:J745" si="282">1757.4-1128.31-22-340.75</f>
        <v>266.34000000000015</v>
      </c>
      <c r="J745" s="107">
        <f t="shared" si="282"/>
        <v>266.34000000000015</v>
      </c>
      <c r="K745" s="129" t="s">
        <v>523</v>
      </c>
    </row>
    <row r="746" spans="1:11" ht="38.25" customHeight="1">
      <c r="A746" s="28" t="s">
        <v>636</v>
      </c>
      <c r="B746" s="15" t="s">
        <v>634</v>
      </c>
      <c r="C746" s="7"/>
      <c r="D746" s="17"/>
      <c r="E746" s="13"/>
      <c r="F746" s="13">
        <f>F747</f>
        <v>39585.4</v>
      </c>
      <c r="G746" s="17">
        <f t="shared" ref="G746:G748" si="283">G747</f>
        <v>70.3</v>
      </c>
      <c r="H746" s="120"/>
      <c r="I746" s="108">
        <f t="shared" ref="I746:J749" si="284">I747</f>
        <v>71.400000000000006</v>
      </c>
      <c r="J746" s="108">
        <f t="shared" si="284"/>
        <v>71.400000000000006</v>
      </c>
      <c r="K746" s="129"/>
    </row>
    <row r="747" spans="1:11" ht="15" customHeight="1">
      <c r="A747" s="28" t="s">
        <v>130</v>
      </c>
      <c r="B747" s="15" t="s">
        <v>635</v>
      </c>
      <c r="C747" s="15"/>
      <c r="D747" s="17">
        <f>D748</f>
        <v>37920</v>
      </c>
      <c r="E747" s="13">
        <f t="shared" ref="E747:E778" si="285">F747-D747</f>
        <v>1665.4000000000015</v>
      </c>
      <c r="F747" s="17">
        <f>F748</f>
        <v>39585.4</v>
      </c>
      <c r="G747" s="17">
        <f t="shared" si="283"/>
        <v>70.3</v>
      </c>
      <c r="H747" s="120"/>
      <c r="I747" s="108">
        <f t="shared" si="284"/>
        <v>71.400000000000006</v>
      </c>
      <c r="J747" s="108">
        <f t="shared" si="284"/>
        <v>71.400000000000006</v>
      </c>
      <c r="K747" s="129"/>
    </row>
    <row r="748" spans="1:11" ht="38.25" customHeight="1">
      <c r="A748" s="28" t="s">
        <v>134</v>
      </c>
      <c r="B748" s="15" t="s">
        <v>638</v>
      </c>
      <c r="C748" s="15"/>
      <c r="D748" s="13">
        <f>D749</f>
        <v>37920</v>
      </c>
      <c r="E748" s="13">
        <f t="shared" si="285"/>
        <v>1665.4000000000015</v>
      </c>
      <c r="F748" s="13">
        <f>F749</f>
        <v>39585.4</v>
      </c>
      <c r="G748" s="17">
        <f t="shared" si="283"/>
        <v>70.3</v>
      </c>
      <c r="H748" s="120"/>
      <c r="I748" s="108">
        <f t="shared" si="284"/>
        <v>71.400000000000006</v>
      </c>
      <c r="J748" s="108">
        <f t="shared" si="284"/>
        <v>71.400000000000006</v>
      </c>
      <c r="K748" s="129"/>
    </row>
    <row r="749" spans="1:11" ht="38.25" customHeight="1">
      <c r="A749" s="28" t="s">
        <v>135</v>
      </c>
      <c r="B749" s="15" t="s">
        <v>638</v>
      </c>
      <c r="C749" s="15" t="s">
        <v>136</v>
      </c>
      <c r="D749" s="17">
        <v>37920</v>
      </c>
      <c r="E749" s="13">
        <f t="shared" si="285"/>
        <v>1665.4000000000015</v>
      </c>
      <c r="F749" s="13">
        <f>40985.4-1400</f>
        <v>39585.4</v>
      </c>
      <c r="G749" s="17">
        <f>G750</f>
        <v>70.3</v>
      </c>
      <c r="H749" s="120"/>
      <c r="I749" s="108">
        <f t="shared" si="284"/>
        <v>71.400000000000006</v>
      </c>
      <c r="J749" s="108">
        <f t="shared" si="284"/>
        <v>71.400000000000006</v>
      </c>
      <c r="K749" s="129"/>
    </row>
    <row r="750" spans="1:11" ht="28.5" customHeight="1">
      <c r="A750" s="28" t="s">
        <v>123</v>
      </c>
      <c r="B750" s="15" t="s">
        <v>637</v>
      </c>
      <c r="C750" s="15"/>
      <c r="D750" s="17">
        <f>D751</f>
        <v>50</v>
      </c>
      <c r="E750" s="13">
        <f t="shared" si="285"/>
        <v>0</v>
      </c>
      <c r="F750" s="17">
        <f>F751</f>
        <v>50</v>
      </c>
      <c r="G750" s="117">
        <v>70.3</v>
      </c>
      <c r="H750" s="120"/>
      <c r="I750" s="107">
        <v>71.400000000000006</v>
      </c>
      <c r="J750" s="107">
        <v>71.400000000000006</v>
      </c>
      <c r="K750" s="129" t="s">
        <v>523</v>
      </c>
    </row>
    <row r="751" spans="1:11" ht="28.5" customHeight="1">
      <c r="A751" s="28" t="s">
        <v>124</v>
      </c>
      <c r="B751" s="15" t="s">
        <v>637</v>
      </c>
      <c r="C751" s="15" t="s">
        <v>125</v>
      </c>
      <c r="D751" s="17">
        <v>50</v>
      </c>
      <c r="E751" s="13">
        <f t="shared" si="285"/>
        <v>0</v>
      </c>
      <c r="F751" s="17">
        <v>50</v>
      </c>
      <c r="G751" s="117"/>
      <c r="H751" s="120"/>
      <c r="I751" s="108">
        <f t="shared" ref="I751:J753" si="286">I752</f>
        <v>0</v>
      </c>
      <c r="J751" s="108">
        <f t="shared" si="286"/>
        <v>0</v>
      </c>
      <c r="K751" s="129"/>
    </row>
    <row r="752" spans="1:11" ht="28.5" customHeight="1">
      <c r="A752" s="28" t="s">
        <v>207</v>
      </c>
      <c r="B752" s="15" t="s">
        <v>361</v>
      </c>
      <c r="C752" s="15"/>
      <c r="D752" s="17">
        <f>D753</f>
        <v>2000</v>
      </c>
      <c r="E752" s="13">
        <f t="shared" si="285"/>
        <v>-2000</v>
      </c>
      <c r="F752" s="17">
        <v>0</v>
      </c>
      <c r="G752" s="117"/>
      <c r="H752" s="120"/>
      <c r="I752" s="108">
        <f t="shared" si="286"/>
        <v>0</v>
      </c>
      <c r="J752" s="108">
        <f t="shared" si="286"/>
        <v>0</v>
      </c>
      <c r="K752" s="129"/>
    </row>
    <row r="753" spans="1:11" ht="28.5" customHeight="1">
      <c r="A753" s="35" t="s">
        <v>208</v>
      </c>
      <c r="B753" s="15" t="s">
        <v>361</v>
      </c>
      <c r="C753" s="15" t="s">
        <v>209</v>
      </c>
      <c r="D753" s="17">
        <v>2000</v>
      </c>
      <c r="E753" s="13">
        <f t="shared" si="285"/>
        <v>-2000</v>
      </c>
      <c r="F753" s="17">
        <v>0</v>
      </c>
      <c r="G753" s="117"/>
      <c r="H753" s="120"/>
      <c r="I753" s="108">
        <f t="shared" si="286"/>
        <v>0</v>
      </c>
      <c r="J753" s="108">
        <f t="shared" si="286"/>
        <v>0</v>
      </c>
      <c r="K753" s="129"/>
    </row>
    <row r="754" spans="1:11" ht="21.75" customHeight="1">
      <c r="A754" s="28" t="s">
        <v>131</v>
      </c>
      <c r="B754" s="15" t="s">
        <v>447</v>
      </c>
      <c r="C754" s="15" t="s">
        <v>132</v>
      </c>
      <c r="D754" s="17">
        <v>47000</v>
      </c>
      <c r="E754" s="13">
        <f t="shared" si="285"/>
        <v>1410</v>
      </c>
      <c r="F754" s="17">
        <v>48410</v>
      </c>
      <c r="G754" s="117"/>
      <c r="H754" s="120"/>
      <c r="I754" s="108">
        <f t="shared" ref="I754:J754" si="287">I755+I756</f>
        <v>0</v>
      </c>
      <c r="J754" s="108">
        <f t="shared" si="287"/>
        <v>0</v>
      </c>
      <c r="K754" s="129"/>
    </row>
    <row r="755" spans="1:11" ht="16.5" customHeight="1">
      <c r="A755" s="28" t="s">
        <v>133</v>
      </c>
      <c r="B755" s="15" t="s">
        <v>449</v>
      </c>
      <c r="C755" s="15"/>
      <c r="D755" s="17">
        <f>D756</f>
        <v>7900.9</v>
      </c>
      <c r="E755" s="13">
        <f t="shared" si="285"/>
        <v>126</v>
      </c>
      <c r="F755" s="17">
        <f>F756</f>
        <v>8026.9</v>
      </c>
      <c r="G755" s="117"/>
      <c r="H755" s="120"/>
      <c r="I755" s="128"/>
      <c r="J755" s="128"/>
      <c r="K755" s="132" t="s">
        <v>524</v>
      </c>
    </row>
    <row r="756" spans="1:11" ht="21.75" customHeight="1">
      <c r="A756" s="28" t="s">
        <v>131</v>
      </c>
      <c r="B756" s="15" t="s">
        <v>449</v>
      </c>
      <c r="C756" s="15" t="s">
        <v>132</v>
      </c>
      <c r="D756" s="17">
        <v>7900.9</v>
      </c>
      <c r="E756" s="13">
        <f t="shared" si="285"/>
        <v>126</v>
      </c>
      <c r="F756" s="17">
        <v>8026.9</v>
      </c>
      <c r="G756" s="117"/>
      <c r="H756" s="120"/>
      <c r="I756" s="128"/>
      <c r="J756" s="128"/>
      <c r="K756" s="132" t="s">
        <v>524</v>
      </c>
    </row>
    <row r="757" spans="1:11" ht="28.5" customHeight="1">
      <c r="A757" s="28" t="s">
        <v>206</v>
      </c>
      <c r="B757" s="15" t="s">
        <v>360</v>
      </c>
      <c r="C757" s="15"/>
      <c r="D757" s="17">
        <f>D758</f>
        <v>12.6</v>
      </c>
      <c r="E757" s="13">
        <f t="shared" si="285"/>
        <v>-1.2999999999999989</v>
      </c>
      <c r="F757" s="17">
        <f>F758</f>
        <v>11.3</v>
      </c>
      <c r="G757" s="115">
        <f>G758</f>
        <v>491.3</v>
      </c>
      <c r="H757" s="144"/>
      <c r="I757" s="145"/>
      <c r="J757" s="145"/>
      <c r="K757" s="129"/>
    </row>
    <row r="758" spans="1:11" ht="33" customHeight="1">
      <c r="A758" s="28" t="s">
        <v>19</v>
      </c>
      <c r="B758" s="15" t="s">
        <v>360</v>
      </c>
      <c r="C758" s="15" t="s">
        <v>20</v>
      </c>
      <c r="D758" s="17">
        <v>12.6</v>
      </c>
      <c r="E758" s="13">
        <f t="shared" si="285"/>
        <v>-1.2999999999999989</v>
      </c>
      <c r="F758" s="17">
        <v>11.3</v>
      </c>
      <c r="G758" s="115">
        <f>SUBTOTAL(9,G759:G761)</f>
        <v>491.3</v>
      </c>
      <c r="H758" s="144"/>
      <c r="I758" s="145"/>
      <c r="J758" s="145"/>
      <c r="K758" s="129"/>
    </row>
    <row r="759" spans="1:11" ht="26.25" customHeight="1">
      <c r="A759" s="14" t="s">
        <v>299</v>
      </c>
      <c r="B759" s="39" t="s">
        <v>353</v>
      </c>
      <c r="C759" s="4"/>
      <c r="D759" s="13">
        <f>D760+D761</f>
        <v>196</v>
      </c>
      <c r="E759" s="13">
        <f t="shared" si="285"/>
        <v>21.78</v>
      </c>
      <c r="F759" s="13">
        <f>F760+F761</f>
        <v>217.78</v>
      </c>
      <c r="G759" s="115">
        <f>491.3-82</f>
        <v>409.3</v>
      </c>
      <c r="H759" s="144"/>
      <c r="I759" s="114"/>
      <c r="J759" s="114"/>
      <c r="K759" s="129"/>
    </row>
    <row r="760" spans="1:11" ht="37.5" customHeight="1">
      <c r="A760" s="28" t="s">
        <v>41</v>
      </c>
      <c r="B760" s="39" t="s">
        <v>353</v>
      </c>
      <c r="C760" s="4" t="s">
        <v>42</v>
      </c>
      <c r="D760" s="13">
        <v>150.5</v>
      </c>
      <c r="E760" s="13">
        <f t="shared" si="285"/>
        <v>16.77000000000001</v>
      </c>
      <c r="F760" s="13">
        <v>167.27</v>
      </c>
      <c r="G760" s="115">
        <f>106.8-20.8-4</f>
        <v>82</v>
      </c>
      <c r="H760" s="144"/>
      <c r="I760" s="114"/>
      <c r="J760" s="114"/>
      <c r="K760" s="129"/>
    </row>
    <row r="761" spans="1:11" ht="27" customHeight="1">
      <c r="A761" s="28" t="s">
        <v>304</v>
      </c>
      <c r="B761" s="39" t="s">
        <v>353</v>
      </c>
      <c r="C761" s="15" t="s">
        <v>44</v>
      </c>
      <c r="D761" s="13">
        <v>45.5</v>
      </c>
      <c r="E761" s="13">
        <f t="shared" si="285"/>
        <v>5.009999999999998</v>
      </c>
      <c r="F761" s="13">
        <v>50.51</v>
      </c>
      <c r="G761" s="115"/>
      <c r="H761" s="144"/>
      <c r="I761" s="145"/>
      <c r="J761" s="145"/>
      <c r="K761" s="129"/>
    </row>
    <row r="762" spans="1:11" ht="27" customHeight="1">
      <c r="A762" s="14" t="s">
        <v>299</v>
      </c>
      <c r="B762" s="39" t="s">
        <v>353</v>
      </c>
      <c r="C762" s="15"/>
      <c r="D762" s="17">
        <f>D763+D764</f>
        <v>10979.8</v>
      </c>
      <c r="E762" s="13">
        <f t="shared" si="285"/>
        <v>-1215.6599999999999</v>
      </c>
      <c r="F762" s="17">
        <f>F763+F764</f>
        <v>9764.14</v>
      </c>
      <c r="G762" s="115">
        <f t="shared" ref="G762:G764" si="288">G763</f>
        <v>0</v>
      </c>
      <c r="H762" s="144"/>
      <c r="I762" s="145"/>
      <c r="J762" s="145"/>
      <c r="K762" s="129"/>
    </row>
    <row r="763" spans="1:11" ht="27" customHeight="1">
      <c r="A763" s="49" t="s">
        <v>305</v>
      </c>
      <c r="B763" s="39" t="s">
        <v>353</v>
      </c>
      <c r="C763" s="15" t="s">
        <v>11</v>
      </c>
      <c r="D763" s="17">
        <v>8433</v>
      </c>
      <c r="E763" s="13">
        <f t="shared" si="285"/>
        <v>-933.65999999999985</v>
      </c>
      <c r="F763" s="17">
        <v>7499.34</v>
      </c>
      <c r="G763" s="115">
        <f t="shared" si="288"/>
        <v>0</v>
      </c>
      <c r="H763" s="144"/>
      <c r="I763" s="145"/>
      <c r="J763" s="145"/>
      <c r="K763" s="129"/>
    </row>
    <row r="764" spans="1:11" ht="27" customHeight="1">
      <c r="A764" s="49" t="s">
        <v>12</v>
      </c>
      <c r="B764" s="39" t="s">
        <v>353</v>
      </c>
      <c r="C764" s="15" t="s">
        <v>13</v>
      </c>
      <c r="D764" s="17">
        <v>2546.8000000000002</v>
      </c>
      <c r="E764" s="13">
        <f t="shared" si="285"/>
        <v>-282</v>
      </c>
      <c r="F764" s="17">
        <v>2264.8000000000002</v>
      </c>
      <c r="G764" s="115">
        <f t="shared" si="288"/>
        <v>0</v>
      </c>
      <c r="H764" s="144"/>
      <c r="I764" s="145"/>
      <c r="J764" s="145"/>
      <c r="K764" s="129"/>
    </row>
    <row r="765" spans="1:11" ht="45" customHeight="1">
      <c r="A765" s="14" t="s">
        <v>299</v>
      </c>
      <c r="B765" s="39" t="s">
        <v>353</v>
      </c>
      <c r="C765" s="15"/>
      <c r="D765" s="17">
        <f>D766+D767</f>
        <v>58934</v>
      </c>
      <c r="E765" s="13">
        <f t="shared" si="285"/>
        <v>-23684.149999999994</v>
      </c>
      <c r="F765" s="17">
        <f>F766+F767</f>
        <v>35249.850000000006</v>
      </c>
      <c r="G765" s="115">
        <f>SUM(G766:G769)</f>
        <v>0</v>
      </c>
      <c r="H765" s="144"/>
      <c r="I765" s="145"/>
      <c r="J765" s="145"/>
      <c r="K765" s="129"/>
    </row>
    <row r="766" spans="1:11" ht="17.25" customHeight="1">
      <c r="A766" s="49" t="s">
        <v>305</v>
      </c>
      <c r="B766" s="39" t="s">
        <v>353</v>
      </c>
      <c r="C766" s="15" t="s">
        <v>11</v>
      </c>
      <c r="D766" s="17">
        <v>45258</v>
      </c>
      <c r="E766" s="13">
        <f t="shared" si="285"/>
        <v>-18184.379999999997</v>
      </c>
      <c r="F766" s="17">
        <f>26454.97+618.65</f>
        <v>27073.620000000003</v>
      </c>
      <c r="G766" s="115"/>
      <c r="H766" s="144"/>
      <c r="I766" s="145"/>
      <c r="J766" s="145"/>
      <c r="K766" s="129"/>
    </row>
    <row r="767" spans="1:11" ht="27" customHeight="1">
      <c r="A767" s="49" t="s">
        <v>12</v>
      </c>
      <c r="B767" s="39" t="s">
        <v>353</v>
      </c>
      <c r="C767" s="15" t="s">
        <v>13</v>
      </c>
      <c r="D767" s="17">
        <v>13676</v>
      </c>
      <c r="E767" s="13">
        <f t="shared" si="285"/>
        <v>-5499.77</v>
      </c>
      <c r="F767" s="17">
        <f>7989.4+186.83</f>
        <v>8176.23</v>
      </c>
      <c r="G767" s="115"/>
      <c r="H767" s="144"/>
      <c r="I767" s="145"/>
      <c r="J767" s="145"/>
      <c r="K767" s="129"/>
    </row>
    <row r="768" spans="1:11" ht="27" customHeight="1">
      <c r="A768" s="14" t="s">
        <v>299</v>
      </c>
      <c r="B768" s="39" t="s">
        <v>353</v>
      </c>
      <c r="C768" s="4"/>
      <c r="D768" s="17">
        <f>SUBTOTAL(9,D769:D772)</f>
        <v>980</v>
      </c>
      <c r="E768" s="13">
        <f t="shared" si="285"/>
        <v>1415.5900000000001</v>
      </c>
      <c r="F768" s="17">
        <f>F769+F770</f>
        <v>2395.59</v>
      </c>
      <c r="G768" s="115"/>
      <c r="H768" s="144"/>
      <c r="I768" s="145"/>
      <c r="J768" s="145"/>
      <c r="K768" s="129"/>
    </row>
    <row r="769" spans="1:20" ht="42" customHeight="1">
      <c r="A769" s="28" t="s">
        <v>104</v>
      </c>
      <c r="B769" s="39" t="s">
        <v>353</v>
      </c>
      <c r="C769" s="4" t="s">
        <v>42</v>
      </c>
      <c r="D769" s="17">
        <v>322.60000000000002</v>
      </c>
      <c r="E769" s="13">
        <f t="shared" si="285"/>
        <v>1517.33</v>
      </c>
      <c r="F769" s="17">
        <v>1839.93</v>
      </c>
      <c r="G769" s="115"/>
      <c r="H769" s="144"/>
      <c r="I769" s="145"/>
      <c r="J769" s="145"/>
      <c r="K769" s="129"/>
    </row>
    <row r="770" spans="1:20" s="47" customFormat="1" ht="25.5" customHeight="1">
      <c r="A770" s="28" t="s">
        <v>276</v>
      </c>
      <c r="B770" s="39" t="s">
        <v>353</v>
      </c>
      <c r="C770" s="4" t="s">
        <v>44</v>
      </c>
      <c r="D770" s="17">
        <v>430</v>
      </c>
      <c r="E770" s="13">
        <f t="shared" si="285"/>
        <v>125.65999999999997</v>
      </c>
      <c r="F770" s="17">
        <v>555.66</v>
      </c>
      <c r="G770" s="21">
        <f>G771+G800</f>
        <v>6211.08</v>
      </c>
      <c r="H770" s="121"/>
      <c r="I770" s="113">
        <f t="shared" ref="I770:J770" si="289">I771+I800</f>
        <v>4791.4799999999996</v>
      </c>
      <c r="J770" s="113">
        <f t="shared" si="289"/>
        <v>5174.17</v>
      </c>
      <c r="K770" s="129"/>
      <c r="P770" s="155">
        <f>F777+F778+F779+F780+F781+F783+F798+F799+F805+F809+F816</f>
        <v>18576.71</v>
      </c>
      <c r="Q770" s="155">
        <f>F770-P770</f>
        <v>-18021.05</v>
      </c>
      <c r="S770" s="155">
        <f t="shared" ref="S770:T770" si="290">I777+I778+I779+I780+I781+I783+I798+I799+I805+I809+I816</f>
        <v>4791.4799999999996</v>
      </c>
      <c r="T770" s="155">
        <f t="shared" si="290"/>
        <v>5174.17</v>
      </c>
    </row>
    <row r="771" spans="1:20" s="47" customFormat="1" ht="37.5" customHeight="1">
      <c r="A771" s="28" t="s">
        <v>12</v>
      </c>
      <c r="B771" s="39" t="s">
        <v>353</v>
      </c>
      <c r="C771" s="4" t="s">
        <v>13</v>
      </c>
      <c r="D771" s="17">
        <v>97.4</v>
      </c>
      <c r="E771" s="13">
        <f t="shared" si="285"/>
        <v>-97.4</v>
      </c>
      <c r="F771" s="17">
        <v>0</v>
      </c>
      <c r="G771" s="21">
        <f>G772+G794</f>
        <v>6180.98</v>
      </c>
      <c r="H771" s="121"/>
      <c r="I771" s="113">
        <f t="shared" ref="I771:J771" si="291">I772+I794</f>
        <v>4791.4799999999996</v>
      </c>
      <c r="J771" s="113">
        <f t="shared" si="291"/>
        <v>5154.17</v>
      </c>
      <c r="K771" s="129"/>
    </row>
    <row r="772" spans="1:20" ht="38.25" customHeight="1">
      <c r="A772" s="28" t="s">
        <v>276</v>
      </c>
      <c r="B772" s="39" t="s">
        <v>353</v>
      </c>
      <c r="C772" s="4" t="s">
        <v>44</v>
      </c>
      <c r="D772" s="17">
        <v>130</v>
      </c>
      <c r="E772" s="13">
        <f t="shared" si="285"/>
        <v>-130</v>
      </c>
      <c r="F772" s="17">
        <v>0</v>
      </c>
      <c r="G772" s="17">
        <f>G773</f>
        <v>6180.98</v>
      </c>
      <c r="H772" s="120"/>
      <c r="I772" s="108">
        <f t="shared" ref="I772:J772" si="292">I774</f>
        <v>4791.4799999999996</v>
      </c>
      <c r="J772" s="108">
        <f t="shared" si="292"/>
        <v>5154.17</v>
      </c>
      <c r="K772" s="129"/>
    </row>
    <row r="773" spans="1:20" ht="15" customHeight="1">
      <c r="A773" s="14" t="s">
        <v>299</v>
      </c>
      <c r="B773" s="39" t="s">
        <v>353</v>
      </c>
      <c r="C773" s="15"/>
      <c r="D773" s="17"/>
      <c r="E773" s="13">
        <f t="shared" si="285"/>
        <v>242.38</v>
      </c>
      <c r="F773" s="17">
        <f>F774+F775</f>
        <v>242.38</v>
      </c>
      <c r="G773" s="17">
        <f>G774</f>
        <v>6180.98</v>
      </c>
      <c r="H773" s="120"/>
      <c r="I773" s="108">
        <f t="shared" ref="I773:J774" si="293">I774</f>
        <v>4791.4799999999996</v>
      </c>
      <c r="J773" s="108">
        <f t="shared" si="293"/>
        <v>5154.17</v>
      </c>
      <c r="K773" s="129"/>
    </row>
    <row r="774" spans="1:20" ht="38.25" customHeight="1">
      <c r="A774" s="28" t="s">
        <v>104</v>
      </c>
      <c r="B774" s="39" t="s">
        <v>353</v>
      </c>
      <c r="C774" s="15" t="s">
        <v>42</v>
      </c>
      <c r="D774" s="17"/>
      <c r="E774" s="13">
        <f t="shared" si="285"/>
        <v>186.16</v>
      </c>
      <c r="F774" s="17">
        <v>186.16</v>
      </c>
      <c r="G774" s="17">
        <f t="shared" ref="G774" si="294">G775</f>
        <v>6180.98</v>
      </c>
      <c r="H774" s="120"/>
      <c r="I774" s="108">
        <f t="shared" si="293"/>
        <v>4791.4799999999996</v>
      </c>
      <c r="J774" s="108">
        <f t="shared" si="293"/>
        <v>5154.17</v>
      </c>
      <c r="K774" s="129"/>
    </row>
    <row r="775" spans="1:20" ht="25.5" customHeight="1">
      <c r="A775" s="28" t="s">
        <v>43</v>
      </c>
      <c r="B775" s="39" t="s">
        <v>353</v>
      </c>
      <c r="C775" s="15" t="s">
        <v>44</v>
      </c>
      <c r="D775" s="17"/>
      <c r="E775" s="13">
        <f t="shared" si="285"/>
        <v>56.22</v>
      </c>
      <c r="F775" s="17">
        <v>56.22</v>
      </c>
      <c r="G775" s="17">
        <f>G784+G787+G792</f>
        <v>6180.98</v>
      </c>
      <c r="H775" s="120"/>
      <c r="I775" s="108">
        <f t="shared" ref="I775:J775" si="295">I776+I782</f>
        <v>4791.4799999999996</v>
      </c>
      <c r="J775" s="108">
        <f t="shared" si="295"/>
        <v>5154.17</v>
      </c>
      <c r="K775" s="129"/>
    </row>
    <row r="776" spans="1:20" ht="25.5" customHeight="1">
      <c r="A776" s="14" t="s">
        <v>299</v>
      </c>
      <c r="B776" s="39" t="s">
        <v>353</v>
      </c>
      <c r="C776" s="4"/>
      <c r="D776" s="17">
        <f>D777+D778</f>
        <v>0</v>
      </c>
      <c r="E776" s="13">
        <f t="shared" si="285"/>
        <v>8939.91</v>
      </c>
      <c r="F776" s="17">
        <f>F777+F778</f>
        <v>8939.91</v>
      </c>
      <c r="G776" s="17"/>
      <c r="H776" s="120"/>
      <c r="I776" s="108">
        <f t="shared" ref="I776:J776" si="296">SUM(I777:I781)</f>
        <v>4716.4799999999996</v>
      </c>
      <c r="J776" s="108">
        <f t="shared" si="296"/>
        <v>5079.17</v>
      </c>
      <c r="K776" s="129"/>
    </row>
    <row r="777" spans="1:20" ht="18.75" customHeight="1">
      <c r="A777" s="28" t="s">
        <v>10</v>
      </c>
      <c r="B777" s="39" t="s">
        <v>353</v>
      </c>
      <c r="C777" s="4" t="s">
        <v>11</v>
      </c>
      <c r="D777" s="17"/>
      <c r="E777" s="13">
        <f t="shared" si="285"/>
        <v>6866.29</v>
      </c>
      <c r="F777" s="17">
        <v>6866.29</v>
      </c>
      <c r="G777" s="17"/>
      <c r="H777" s="120"/>
      <c r="I777" s="107">
        <f t="shared" ref="I777:J777" si="297">5439.48-1881.75</f>
        <v>3557.7299999999996</v>
      </c>
      <c r="J777" s="107">
        <f t="shared" si="297"/>
        <v>3557.7299999999996</v>
      </c>
      <c r="K777" s="129"/>
    </row>
    <row r="778" spans="1:20" ht="27.75" customHeight="1">
      <c r="A778" s="28" t="s">
        <v>12</v>
      </c>
      <c r="B778" s="39" t="s">
        <v>353</v>
      </c>
      <c r="C778" s="4" t="s">
        <v>13</v>
      </c>
      <c r="D778" s="17"/>
      <c r="E778" s="13">
        <f t="shared" si="285"/>
        <v>2073.62</v>
      </c>
      <c r="F778" s="17">
        <v>2073.62</v>
      </c>
      <c r="G778" s="17"/>
      <c r="H778" s="120"/>
      <c r="I778" s="107">
        <v>84</v>
      </c>
      <c r="J778" s="107">
        <v>84</v>
      </c>
      <c r="K778" s="129"/>
    </row>
    <row r="779" spans="1:20" ht="42.75" customHeight="1">
      <c r="A779" s="14" t="s">
        <v>299</v>
      </c>
      <c r="B779" s="39" t="s">
        <v>353</v>
      </c>
      <c r="C779" s="4"/>
      <c r="D779" s="17">
        <f>D780+D783+D782+D784</f>
        <v>1150</v>
      </c>
      <c r="E779" s="13">
        <f t="shared" ref="E779:E810" si="298">F779-D779</f>
        <v>1572.2599999999998</v>
      </c>
      <c r="F779" s="17">
        <f>F780+F781</f>
        <v>2722.2599999999998</v>
      </c>
      <c r="G779" s="17"/>
      <c r="H779" s="120"/>
      <c r="I779" s="107">
        <f t="shared" ref="I779:J779" si="299">1642.72-568.29</f>
        <v>1074.43</v>
      </c>
      <c r="J779" s="107">
        <f t="shared" si="299"/>
        <v>1074.43</v>
      </c>
      <c r="K779" s="129"/>
    </row>
    <row r="780" spans="1:20" ht="25.5" customHeight="1">
      <c r="A780" s="28" t="s">
        <v>10</v>
      </c>
      <c r="B780" s="39" t="s">
        <v>353</v>
      </c>
      <c r="C780" s="15" t="s">
        <v>11</v>
      </c>
      <c r="D780" s="17">
        <v>537.6</v>
      </c>
      <c r="E780" s="13">
        <f t="shared" si="298"/>
        <v>1553.23</v>
      </c>
      <c r="F780" s="17">
        <v>2090.83</v>
      </c>
      <c r="G780" s="17"/>
      <c r="H780" s="120"/>
      <c r="I780" s="107"/>
      <c r="J780" s="107">
        <f t="shared" ref="J780" si="300">7604.21-3557.73-84-1074.43-75-2450.04-0.32</f>
        <v>362.69000000000023</v>
      </c>
      <c r="K780" s="129"/>
    </row>
    <row r="781" spans="1:20" ht="15.75" customHeight="1">
      <c r="A781" s="28" t="s">
        <v>12</v>
      </c>
      <c r="B781" s="39" t="s">
        <v>353</v>
      </c>
      <c r="C781" s="15" t="s">
        <v>13</v>
      </c>
      <c r="D781" s="17"/>
      <c r="E781" s="13">
        <f t="shared" si="298"/>
        <v>631.42999999999995</v>
      </c>
      <c r="F781" s="17">
        <v>631.42999999999995</v>
      </c>
      <c r="G781" s="17"/>
      <c r="H781" s="120"/>
      <c r="I781" s="107">
        <v>0.32</v>
      </c>
      <c r="J781" s="107">
        <v>0.32</v>
      </c>
      <c r="K781" s="129"/>
    </row>
    <row r="782" spans="1:20" ht="33.75" customHeight="1">
      <c r="A782" s="28" t="s">
        <v>104</v>
      </c>
      <c r="B782" s="39" t="s">
        <v>353</v>
      </c>
      <c r="C782" s="15" t="s">
        <v>42</v>
      </c>
      <c r="D782" s="17">
        <v>345.6</v>
      </c>
      <c r="E782" s="13">
        <f t="shared" si="298"/>
        <v>-345.6</v>
      </c>
      <c r="F782" s="17">
        <v>0</v>
      </c>
      <c r="G782" s="17"/>
      <c r="H782" s="120"/>
      <c r="I782" s="108">
        <f t="shared" ref="I782:J782" si="301">I783</f>
        <v>75</v>
      </c>
      <c r="J782" s="108">
        <f t="shared" si="301"/>
        <v>75</v>
      </c>
      <c r="K782" s="129"/>
    </row>
    <row r="783" spans="1:20" ht="28.5" customHeight="1">
      <c r="A783" s="28" t="s">
        <v>12</v>
      </c>
      <c r="B783" s="39" t="s">
        <v>353</v>
      </c>
      <c r="C783" s="15" t="s">
        <v>13</v>
      </c>
      <c r="D783" s="17">
        <v>162.4</v>
      </c>
      <c r="E783" s="13">
        <f t="shared" si="298"/>
        <v>-162.4</v>
      </c>
      <c r="F783" s="17">
        <v>0</v>
      </c>
      <c r="G783" s="17"/>
      <c r="H783" s="120"/>
      <c r="I783" s="107">
        <v>75</v>
      </c>
      <c r="J783" s="107">
        <v>75</v>
      </c>
      <c r="K783" s="129"/>
    </row>
    <row r="784" spans="1:20" ht="25.5" customHeight="1">
      <c r="A784" s="28" t="s">
        <v>43</v>
      </c>
      <c r="B784" s="39" t="s">
        <v>353</v>
      </c>
      <c r="C784" s="15" t="s">
        <v>44</v>
      </c>
      <c r="D784" s="17">
        <v>104.4</v>
      </c>
      <c r="E784" s="13">
        <f t="shared" si="298"/>
        <v>-104.4</v>
      </c>
      <c r="F784" s="17">
        <v>0</v>
      </c>
      <c r="G784" s="115">
        <f>SUBTOTAL(9,G785:G786)</f>
        <v>5737.9599999999991</v>
      </c>
      <c r="H784" s="144"/>
      <c r="I784" s="145"/>
      <c r="J784" s="145"/>
      <c r="K784" s="129"/>
    </row>
    <row r="785" spans="1:11" ht="12.75" customHeight="1">
      <c r="A785" s="14" t="s">
        <v>299</v>
      </c>
      <c r="B785" s="39" t="s">
        <v>353</v>
      </c>
      <c r="C785" s="4"/>
      <c r="D785" s="17">
        <f>D786+D787</f>
        <v>2104.6999999999998</v>
      </c>
      <c r="E785" s="13">
        <f t="shared" si="298"/>
        <v>6606.54</v>
      </c>
      <c r="F785" s="17">
        <f>F786+F787</f>
        <v>8711.24</v>
      </c>
      <c r="G785" s="115">
        <f>4972.32-565.3</f>
        <v>4407.0199999999995</v>
      </c>
      <c r="H785" s="144"/>
      <c r="I785" s="145"/>
      <c r="J785" s="145"/>
      <c r="K785" s="129"/>
    </row>
    <row r="786" spans="1:11" ht="22.5" customHeight="1">
      <c r="A786" s="28" t="s">
        <v>10</v>
      </c>
      <c r="B786" s="39" t="s">
        <v>353</v>
      </c>
      <c r="C786" s="15" t="s">
        <v>11</v>
      </c>
      <c r="D786" s="17">
        <v>1616.5</v>
      </c>
      <c r="E786" s="13">
        <f t="shared" si="298"/>
        <v>5074.16</v>
      </c>
      <c r="F786" s="17">
        <v>6690.66</v>
      </c>
      <c r="G786" s="115">
        <f>1501.64-170.7</f>
        <v>1330.94</v>
      </c>
      <c r="H786" s="144"/>
      <c r="I786" s="145"/>
      <c r="J786" s="145"/>
      <c r="K786" s="129"/>
    </row>
    <row r="787" spans="1:11" ht="25.5" customHeight="1">
      <c r="A787" s="28" t="s">
        <v>12</v>
      </c>
      <c r="B787" s="39" t="s">
        <v>353</v>
      </c>
      <c r="C787" s="15" t="s">
        <v>13</v>
      </c>
      <c r="D787" s="17">
        <v>488.2</v>
      </c>
      <c r="E787" s="13">
        <f t="shared" si="298"/>
        <v>1532.3799999999999</v>
      </c>
      <c r="F787" s="17">
        <v>2020.58</v>
      </c>
      <c r="G787" s="115">
        <f>SUBTOTAL(9,G788:G791)</f>
        <v>371.02</v>
      </c>
      <c r="H787" s="144"/>
      <c r="I787" s="145"/>
      <c r="J787" s="145"/>
      <c r="K787" s="129"/>
    </row>
    <row r="788" spans="1:11" ht="25.5" customHeight="1">
      <c r="A788" s="14" t="s">
        <v>299</v>
      </c>
      <c r="B788" s="39" t="s">
        <v>353</v>
      </c>
      <c r="C788" s="15"/>
      <c r="D788" s="17"/>
      <c r="E788" s="13">
        <f t="shared" si="298"/>
        <v>435.55999999999995</v>
      </c>
      <c r="F788" s="17">
        <f>F789+F790</f>
        <v>435.55999999999995</v>
      </c>
      <c r="G788" s="115"/>
      <c r="H788" s="144"/>
      <c r="I788" s="145"/>
      <c r="J788" s="145"/>
      <c r="K788" s="129"/>
    </row>
    <row r="789" spans="1:11" ht="25.5" customHeight="1">
      <c r="A789" s="28" t="s">
        <v>104</v>
      </c>
      <c r="B789" s="39" t="s">
        <v>353</v>
      </c>
      <c r="C789" s="4" t="s">
        <v>42</v>
      </c>
      <c r="D789" s="17"/>
      <c r="E789" s="13">
        <f t="shared" si="298"/>
        <v>334.53</v>
      </c>
      <c r="F789" s="17">
        <v>334.53</v>
      </c>
      <c r="G789" s="115">
        <f>62.04+156+32.8+6.64+185.54-72</f>
        <v>371.02</v>
      </c>
      <c r="H789" s="144"/>
      <c r="I789" s="145"/>
      <c r="J789" s="145"/>
      <c r="K789" s="129"/>
    </row>
    <row r="790" spans="1:11" ht="15" customHeight="1">
      <c r="A790" s="28" t="s">
        <v>43</v>
      </c>
      <c r="B790" s="39" t="s">
        <v>353</v>
      </c>
      <c r="C790" s="4" t="s">
        <v>44</v>
      </c>
      <c r="D790" s="17"/>
      <c r="E790" s="13">
        <f t="shared" si="298"/>
        <v>101.03</v>
      </c>
      <c r="F790" s="17">
        <v>101.03</v>
      </c>
      <c r="G790" s="115"/>
      <c r="H790" s="144"/>
      <c r="I790" s="145"/>
      <c r="J790" s="145"/>
      <c r="K790" s="129"/>
    </row>
    <row r="791" spans="1:11" ht="15" customHeight="1">
      <c r="A791" s="14" t="s">
        <v>299</v>
      </c>
      <c r="B791" s="39" t="s">
        <v>353</v>
      </c>
      <c r="C791" s="15"/>
      <c r="D791" s="17"/>
      <c r="E791" s="13">
        <f t="shared" si="298"/>
        <v>2613.37</v>
      </c>
      <c r="F791" s="17">
        <f>F792+F793</f>
        <v>2613.37</v>
      </c>
      <c r="G791" s="115"/>
      <c r="H791" s="144"/>
      <c r="I791" s="145"/>
      <c r="J791" s="145"/>
      <c r="K791" s="129"/>
    </row>
    <row r="792" spans="1:11" ht="25.5" customHeight="1">
      <c r="A792" s="28" t="s">
        <v>104</v>
      </c>
      <c r="B792" s="39" t="s">
        <v>353</v>
      </c>
      <c r="C792" s="4" t="s">
        <v>42</v>
      </c>
      <c r="D792" s="17"/>
      <c r="E792" s="13">
        <f t="shared" si="298"/>
        <v>2007.2</v>
      </c>
      <c r="F792" s="17">
        <f>501.8+1505.4</f>
        <v>2007.2</v>
      </c>
      <c r="G792" s="115">
        <f>G793</f>
        <v>72</v>
      </c>
      <c r="H792" s="144"/>
      <c r="I792" s="145"/>
      <c r="J792" s="145"/>
      <c r="K792" s="129"/>
    </row>
    <row r="793" spans="1:11" ht="25.5" customHeight="1">
      <c r="A793" s="28" t="s">
        <v>46</v>
      </c>
      <c r="B793" s="39" t="s">
        <v>353</v>
      </c>
      <c r="C793" s="4" t="s">
        <v>47</v>
      </c>
      <c r="D793" s="17"/>
      <c r="E793" s="13">
        <f t="shared" si="298"/>
        <v>606.16999999999996</v>
      </c>
      <c r="F793" s="17">
        <f>151.54+454.63</f>
        <v>606.16999999999996</v>
      </c>
      <c r="G793" s="115">
        <v>72</v>
      </c>
      <c r="H793" s="144"/>
      <c r="I793" s="145"/>
      <c r="J793" s="145"/>
      <c r="K793" s="129"/>
    </row>
    <row r="794" spans="1:11" ht="38.25" customHeight="1">
      <c r="A794" s="14" t="s">
        <v>299</v>
      </c>
      <c r="B794" s="39" t="s">
        <v>353</v>
      </c>
      <c r="C794" s="15"/>
      <c r="D794" s="17"/>
      <c r="E794" s="13">
        <f t="shared" si="298"/>
        <v>217.78</v>
      </c>
      <c r="F794" s="17">
        <f>F795+F796</f>
        <v>217.78</v>
      </c>
      <c r="G794" s="17">
        <f t="shared" ref="G794:G796" si="302">G795</f>
        <v>0</v>
      </c>
      <c r="H794" s="120"/>
      <c r="I794" s="108">
        <f t="shared" ref="I794:J796" si="303">I795</f>
        <v>0</v>
      </c>
      <c r="J794" s="108">
        <f t="shared" si="303"/>
        <v>0</v>
      </c>
      <c r="K794" s="129"/>
    </row>
    <row r="795" spans="1:11" ht="25.5" customHeight="1">
      <c r="A795" s="28" t="s">
        <v>10</v>
      </c>
      <c r="B795" s="39" t="s">
        <v>353</v>
      </c>
      <c r="C795" s="15" t="s">
        <v>11</v>
      </c>
      <c r="D795" s="17"/>
      <c r="E795" s="13">
        <f t="shared" si="298"/>
        <v>167.27</v>
      </c>
      <c r="F795" s="17">
        <v>167.27</v>
      </c>
      <c r="G795" s="17">
        <f t="shared" si="302"/>
        <v>0</v>
      </c>
      <c r="H795" s="120"/>
      <c r="I795" s="108">
        <f t="shared" si="303"/>
        <v>0</v>
      </c>
      <c r="J795" s="108">
        <f t="shared" si="303"/>
        <v>0</v>
      </c>
      <c r="K795" s="129"/>
    </row>
    <row r="796" spans="1:11" ht="25.5" customHeight="1">
      <c r="A796" s="28" t="s">
        <v>12</v>
      </c>
      <c r="B796" s="39" t="s">
        <v>353</v>
      </c>
      <c r="C796" s="15" t="s">
        <v>13</v>
      </c>
      <c r="D796" s="17"/>
      <c r="E796" s="13">
        <f t="shared" si="298"/>
        <v>50.51</v>
      </c>
      <c r="F796" s="17">
        <v>50.51</v>
      </c>
      <c r="G796" s="17">
        <f t="shared" si="302"/>
        <v>0</v>
      </c>
      <c r="H796" s="120"/>
      <c r="I796" s="108">
        <f t="shared" si="303"/>
        <v>0</v>
      </c>
      <c r="J796" s="108">
        <f t="shared" si="303"/>
        <v>0</v>
      </c>
      <c r="K796" s="129"/>
    </row>
    <row r="797" spans="1:11" ht="38.25" customHeight="1">
      <c r="A797" s="14" t="s">
        <v>299</v>
      </c>
      <c r="B797" s="39" t="s">
        <v>353</v>
      </c>
      <c r="C797" s="15"/>
      <c r="D797" s="17">
        <f>SUM(D798:D801)</f>
        <v>1299</v>
      </c>
      <c r="E797" s="13">
        <f t="shared" si="298"/>
        <v>-1299</v>
      </c>
      <c r="F797" s="17">
        <v>0</v>
      </c>
      <c r="G797" s="17">
        <f>G798+G799</f>
        <v>0</v>
      </c>
      <c r="H797" s="120"/>
      <c r="I797" s="108">
        <f t="shared" ref="I797:J797" si="304">SUM(I798:I799)</f>
        <v>0</v>
      </c>
      <c r="J797" s="108">
        <f t="shared" si="304"/>
        <v>0</v>
      </c>
      <c r="K797" s="129"/>
    </row>
    <row r="798" spans="1:11" ht="15.75" customHeight="1">
      <c r="A798" s="28" t="s">
        <v>10</v>
      </c>
      <c r="B798" s="39" t="s">
        <v>353</v>
      </c>
      <c r="C798" s="15" t="s">
        <v>11</v>
      </c>
      <c r="D798" s="17">
        <v>563</v>
      </c>
      <c r="E798" s="13">
        <f t="shared" si="298"/>
        <v>-563</v>
      </c>
      <c r="F798" s="17">
        <v>0</v>
      </c>
      <c r="G798" s="17"/>
      <c r="H798" s="120"/>
      <c r="I798" s="107"/>
      <c r="J798" s="107"/>
      <c r="K798" s="129" t="s">
        <v>524</v>
      </c>
    </row>
    <row r="799" spans="1:11" ht="36" customHeight="1">
      <c r="A799" s="28" t="s">
        <v>104</v>
      </c>
      <c r="B799" s="39" t="s">
        <v>353</v>
      </c>
      <c r="C799" s="15" t="s">
        <v>42</v>
      </c>
      <c r="D799" s="17">
        <v>434.7</v>
      </c>
      <c r="E799" s="13">
        <f t="shared" si="298"/>
        <v>-434.7</v>
      </c>
      <c r="F799" s="17">
        <v>0</v>
      </c>
      <c r="G799" s="17"/>
      <c r="H799" s="120"/>
      <c r="I799" s="107"/>
      <c r="J799" s="107"/>
      <c r="K799" s="129" t="s">
        <v>524</v>
      </c>
    </row>
    <row r="800" spans="1:11" s="47" customFormat="1" ht="25.5" customHeight="1">
      <c r="A800" s="28" t="s">
        <v>12</v>
      </c>
      <c r="B800" s="39" t="s">
        <v>353</v>
      </c>
      <c r="C800" s="15" t="s">
        <v>13</v>
      </c>
      <c r="D800" s="17">
        <v>170</v>
      </c>
      <c r="E800" s="13">
        <f t="shared" si="298"/>
        <v>-170</v>
      </c>
      <c r="F800" s="17">
        <v>0</v>
      </c>
      <c r="G800" s="21">
        <f>G801</f>
        <v>30.1</v>
      </c>
      <c r="H800" s="121"/>
      <c r="I800" s="113">
        <f t="shared" ref="I800:J801" si="305">I801</f>
        <v>0</v>
      </c>
      <c r="J800" s="113">
        <f t="shared" si="305"/>
        <v>20</v>
      </c>
      <c r="K800" s="129"/>
    </row>
    <row r="801" spans="1:14" s="47" customFormat="1" ht="38.25" customHeight="1">
      <c r="A801" s="28" t="s">
        <v>276</v>
      </c>
      <c r="B801" s="39" t="s">
        <v>353</v>
      </c>
      <c r="C801" s="15" t="s">
        <v>44</v>
      </c>
      <c r="D801" s="17">
        <v>131.30000000000001</v>
      </c>
      <c r="E801" s="13">
        <f t="shared" si="298"/>
        <v>-131.30000000000001</v>
      </c>
      <c r="F801" s="17">
        <v>0</v>
      </c>
      <c r="G801" s="17">
        <f>G802</f>
        <v>30.1</v>
      </c>
      <c r="H801" s="121"/>
      <c r="I801" s="108">
        <f t="shared" si="305"/>
        <v>0</v>
      </c>
      <c r="J801" s="108">
        <f t="shared" si="305"/>
        <v>20</v>
      </c>
      <c r="K801" s="129"/>
    </row>
    <row r="802" spans="1:14" s="47" customFormat="1" ht="15" customHeight="1">
      <c r="A802" s="14" t="s">
        <v>299</v>
      </c>
      <c r="B802" s="39" t="s">
        <v>353</v>
      </c>
      <c r="C802" s="15"/>
      <c r="D802" s="17">
        <f>D803+D804</f>
        <v>736</v>
      </c>
      <c r="E802" s="13">
        <f t="shared" si="298"/>
        <v>1714.04</v>
      </c>
      <c r="F802" s="17">
        <f>SUM(F803:F804)</f>
        <v>2450.04</v>
      </c>
      <c r="G802" s="17">
        <f>G803+G810</f>
        <v>30.1</v>
      </c>
      <c r="H802" s="121"/>
      <c r="I802" s="108">
        <f t="shared" ref="I802:J802" si="306">I803+I806</f>
        <v>0</v>
      </c>
      <c r="J802" s="108">
        <f t="shared" si="306"/>
        <v>20</v>
      </c>
      <c r="K802" s="129"/>
    </row>
    <row r="803" spans="1:14" s="47" customFormat="1" ht="20.25" customHeight="1">
      <c r="A803" s="28" t="s">
        <v>10</v>
      </c>
      <c r="B803" s="39" t="s">
        <v>353</v>
      </c>
      <c r="C803" s="15" t="s">
        <v>11</v>
      </c>
      <c r="D803" s="17">
        <v>565.29999999999995</v>
      </c>
      <c r="E803" s="13">
        <f t="shared" si="298"/>
        <v>1316.45</v>
      </c>
      <c r="F803" s="17">
        <v>1881.75</v>
      </c>
      <c r="G803" s="17">
        <f>G804</f>
        <v>0</v>
      </c>
      <c r="H803" s="121"/>
      <c r="I803" s="108">
        <f t="shared" ref="I803:J804" si="307">I804</f>
        <v>0</v>
      </c>
      <c r="J803" s="108">
        <f t="shared" si="307"/>
        <v>0</v>
      </c>
      <c r="K803" s="129"/>
    </row>
    <row r="804" spans="1:14" s="47" customFormat="1" ht="48.75" customHeight="1">
      <c r="A804" s="28" t="s">
        <v>12</v>
      </c>
      <c r="B804" s="39" t="s">
        <v>353</v>
      </c>
      <c r="C804" s="15" t="s">
        <v>13</v>
      </c>
      <c r="D804" s="17">
        <v>170.7</v>
      </c>
      <c r="E804" s="13">
        <f t="shared" si="298"/>
        <v>397.59</v>
      </c>
      <c r="F804" s="17">
        <v>568.29</v>
      </c>
      <c r="G804" s="17">
        <f>G805</f>
        <v>0</v>
      </c>
      <c r="H804" s="121"/>
      <c r="I804" s="108">
        <f t="shared" si="307"/>
        <v>0</v>
      </c>
      <c r="J804" s="108">
        <f t="shared" si="307"/>
        <v>0</v>
      </c>
      <c r="K804" s="129"/>
    </row>
    <row r="805" spans="1:14" s="47" customFormat="1" ht="25.5" customHeight="1">
      <c r="A805" s="14" t="s">
        <v>299</v>
      </c>
      <c r="B805" s="39" t="s">
        <v>353</v>
      </c>
      <c r="C805" s="15"/>
      <c r="D805" s="17">
        <f>D806+D807</f>
        <v>1200</v>
      </c>
      <c r="E805" s="13">
        <f t="shared" si="298"/>
        <v>2992.2799999999997</v>
      </c>
      <c r="F805" s="17">
        <f>F806+F807</f>
        <v>4192.28</v>
      </c>
      <c r="G805" s="17"/>
      <c r="H805" s="121"/>
      <c r="I805" s="107"/>
      <c r="J805" s="107"/>
      <c r="K805" s="129" t="s">
        <v>524</v>
      </c>
      <c r="L805" s="1">
        <f>5.5/99</f>
        <v>5.5555555555555552E-2</v>
      </c>
      <c r="M805" s="1">
        <f>I805/99</f>
        <v>0</v>
      </c>
      <c r="N805" s="1">
        <f>J805/99</f>
        <v>0</v>
      </c>
    </row>
    <row r="806" spans="1:14" s="47" customFormat="1" ht="25.5" customHeight="1">
      <c r="A806" s="28" t="s">
        <v>10</v>
      </c>
      <c r="B806" s="39" t="s">
        <v>353</v>
      </c>
      <c r="C806" s="15" t="s">
        <v>11</v>
      </c>
      <c r="D806" s="17">
        <v>922</v>
      </c>
      <c r="E806" s="13">
        <f t="shared" si="298"/>
        <v>2297.88</v>
      </c>
      <c r="F806" s="17">
        <v>3219.88</v>
      </c>
      <c r="G806" s="17"/>
      <c r="H806" s="152"/>
      <c r="I806" s="108">
        <f t="shared" ref="I806:J806" si="308">I807+I815</f>
        <v>0</v>
      </c>
      <c r="J806" s="108">
        <f t="shared" si="308"/>
        <v>20</v>
      </c>
      <c r="K806" s="129"/>
      <c r="L806" s="1"/>
      <c r="M806" s="1"/>
      <c r="N806" s="1"/>
    </row>
    <row r="807" spans="1:14" s="47" customFormat="1" ht="18" customHeight="1">
      <c r="A807" s="28" t="s">
        <v>12</v>
      </c>
      <c r="B807" s="39" t="s">
        <v>353</v>
      </c>
      <c r="C807" s="15" t="s">
        <v>13</v>
      </c>
      <c r="D807" s="17">
        <v>278</v>
      </c>
      <c r="E807" s="13">
        <f t="shared" si="298"/>
        <v>694.4</v>
      </c>
      <c r="F807" s="17">
        <v>972.4</v>
      </c>
      <c r="G807" s="17"/>
      <c r="H807" s="152"/>
      <c r="I807" s="108">
        <f t="shared" ref="I807:J808" si="309">I808</f>
        <v>0</v>
      </c>
      <c r="J807" s="108">
        <f t="shared" si="309"/>
        <v>20</v>
      </c>
      <c r="K807" s="129"/>
      <c r="L807" s="1"/>
      <c r="M807" s="1"/>
      <c r="N807" s="1"/>
    </row>
    <row r="808" spans="1:14" s="47" customFormat="1" ht="25.5" customHeight="1">
      <c r="A808" s="14" t="s">
        <v>299</v>
      </c>
      <c r="B808" s="39" t="s">
        <v>353</v>
      </c>
      <c r="C808" s="15"/>
      <c r="D808" s="13">
        <f>D809+D810</f>
        <v>200</v>
      </c>
      <c r="E808" s="13">
        <f t="shared" si="298"/>
        <v>-200</v>
      </c>
      <c r="F808" s="17">
        <v>0</v>
      </c>
      <c r="G808" s="17"/>
      <c r="H808" s="152"/>
      <c r="I808" s="108">
        <f t="shared" si="309"/>
        <v>0</v>
      </c>
      <c r="J808" s="108">
        <f t="shared" si="309"/>
        <v>20</v>
      </c>
      <c r="K808" s="129"/>
      <c r="L808" s="1"/>
      <c r="M808" s="1"/>
      <c r="N808" s="1"/>
    </row>
    <row r="809" spans="1:14" s="47" customFormat="1" ht="25.5" customHeight="1">
      <c r="A809" s="28" t="s">
        <v>10</v>
      </c>
      <c r="B809" s="39" t="s">
        <v>353</v>
      </c>
      <c r="C809" s="15" t="s">
        <v>11</v>
      </c>
      <c r="D809" s="13">
        <v>153.6</v>
      </c>
      <c r="E809" s="13">
        <f t="shared" si="298"/>
        <v>-153.6</v>
      </c>
      <c r="F809" s="17">
        <v>0</v>
      </c>
      <c r="G809" s="17"/>
      <c r="H809" s="121"/>
      <c r="I809" s="107"/>
      <c r="J809" s="107">
        <v>20</v>
      </c>
      <c r="K809" s="129"/>
      <c r="L809" s="1"/>
      <c r="M809" s="1"/>
      <c r="N809" s="1"/>
    </row>
    <row r="810" spans="1:14" ht="25.5" customHeight="1">
      <c r="A810" s="28" t="s">
        <v>12</v>
      </c>
      <c r="B810" s="39" t="s">
        <v>353</v>
      </c>
      <c r="C810" s="15" t="s">
        <v>13</v>
      </c>
      <c r="D810" s="13">
        <v>46.4</v>
      </c>
      <c r="E810" s="13">
        <f t="shared" si="298"/>
        <v>-46.4</v>
      </c>
      <c r="F810" s="17">
        <v>0</v>
      </c>
      <c r="G810" s="115">
        <f>G811+G813+G815</f>
        <v>30.1</v>
      </c>
      <c r="H810" s="144"/>
      <c r="I810" s="145"/>
      <c r="J810" s="145"/>
      <c r="K810" s="129"/>
    </row>
    <row r="811" spans="1:14" ht="25.5" customHeight="1">
      <c r="A811" s="14" t="s">
        <v>299</v>
      </c>
      <c r="B811" s="39" t="s">
        <v>353</v>
      </c>
      <c r="C811" s="15"/>
      <c r="D811" s="17"/>
      <c r="E811" s="13">
        <f t="shared" ref="E811:E842" si="310">F811-D811</f>
        <v>1306.69</v>
      </c>
      <c r="F811" s="17">
        <f>F812</f>
        <v>1306.69</v>
      </c>
      <c r="G811" s="115">
        <f>G812</f>
        <v>10</v>
      </c>
      <c r="H811" s="144"/>
      <c r="I811" s="145"/>
      <c r="J811" s="145"/>
      <c r="K811" s="129"/>
    </row>
    <row r="812" spans="1:14" ht="25.5" customHeight="1">
      <c r="A812" s="28" t="s">
        <v>247</v>
      </c>
      <c r="B812" s="39" t="s">
        <v>353</v>
      </c>
      <c r="C812" s="15" t="s">
        <v>248</v>
      </c>
      <c r="D812" s="17"/>
      <c r="E812" s="13">
        <f t="shared" si="310"/>
        <v>1306.69</v>
      </c>
      <c r="F812" s="17">
        <v>1306.69</v>
      </c>
      <c r="G812" s="115">
        <v>10</v>
      </c>
      <c r="H812" s="144"/>
      <c r="I812" s="114"/>
      <c r="J812" s="114"/>
      <c r="K812" s="129"/>
    </row>
    <row r="813" spans="1:14" ht="31.5" customHeight="1">
      <c r="A813" s="30" t="s">
        <v>117</v>
      </c>
      <c r="B813" s="15" t="s">
        <v>443</v>
      </c>
      <c r="C813" s="15"/>
      <c r="D813" s="17">
        <f>D814</f>
        <v>5460.2</v>
      </c>
      <c r="E813" s="13">
        <f t="shared" si="310"/>
        <v>-5460.2</v>
      </c>
      <c r="F813" s="17">
        <v>0</v>
      </c>
      <c r="G813" s="115">
        <f>G814</f>
        <v>10</v>
      </c>
      <c r="H813" s="144"/>
      <c r="I813" s="145"/>
      <c r="J813" s="145"/>
      <c r="K813" s="129"/>
    </row>
    <row r="814" spans="1:14" ht="25.5" customHeight="1">
      <c r="A814" s="28" t="s">
        <v>119</v>
      </c>
      <c r="B814" s="15" t="s">
        <v>445</v>
      </c>
      <c r="C814" s="15"/>
      <c r="D814" s="17">
        <f>SUBTOTAL(9,D815:D816)</f>
        <v>5460.2</v>
      </c>
      <c r="E814" s="13">
        <f t="shared" si="310"/>
        <v>-5460.2</v>
      </c>
      <c r="F814" s="17">
        <v>0</v>
      </c>
      <c r="G814" s="115">
        <v>10</v>
      </c>
      <c r="H814" s="144"/>
      <c r="I814" s="114"/>
      <c r="J814" s="114">
        <v>0</v>
      </c>
      <c r="K814" s="129"/>
    </row>
    <row r="815" spans="1:14" ht="38.25" customHeight="1">
      <c r="A815" s="28" t="s">
        <v>104</v>
      </c>
      <c r="B815" s="15" t="s">
        <v>445</v>
      </c>
      <c r="C815" s="15" t="s">
        <v>42</v>
      </c>
      <c r="D815" s="17">
        <v>4193.7</v>
      </c>
      <c r="E815" s="13">
        <f t="shared" si="310"/>
        <v>-4193.7</v>
      </c>
      <c r="F815" s="17">
        <v>0</v>
      </c>
      <c r="G815" s="17">
        <f>G816</f>
        <v>10.1</v>
      </c>
      <c r="H815" s="120"/>
      <c r="I815" s="108">
        <f t="shared" ref="I815:J815" si="311">I816</f>
        <v>0</v>
      </c>
      <c r="J815" s="108">
        <f t="shared" si="311"/>
        <v>0</v>
      </c>
      <c r="K815" s="129"/>
    </row>
    <row r="816" spans="1:14" ht="15" customHeight="1">
      <c r="A816" s="28" t="s">
        <v>43</v>
      </c>
      <c r="B816" s="15" t="s">
        <v>445</v>
      </c>
      <c r="C816" s="15" t="s">
        <v>44</v>
      </c>
      <c r="D816" s="17">
        <v>1266.5</v>
      </c>
      <c r="E816" s="13">
        <f t="shared" si="310"/>
        <v>-1266.5</v>
      </c>
      <c r="F816" s="17">
        <v>0</v>
      </c>
      <c r="G816" s="117">
        <v>10.1</v>
      </c>
      <c r="H816" s="120"/>
      <c r="I816" s="107">
        <v>0</v>
      </c>
      <c r="J816" s="107">
        <v>0</v>
      </c>
      <c r="K816" s="129" t="s">
        <v>524</v>
      </c>
      <c r="L816" s="1">
        <f>9.9/99</f>
        <v>0.1</v>
      </c>
      <c r="M816" s="1">
        <f>I816/99</f>
        <v>0</v>
      </c>
      <c r="N816" s="1">
        <f>J816/99</f>
        <v>0</v>
      </c>
    </row>
    <row r="817" spans="1:20" s="47" customFormat="1" ht="15" customHeight="1">
      <c r="A817" s="28" t="s">
        <v>485</v>
      </c>
      <c r="B817" s="15" t="s">
        <v>446</v>
      </c>
      <c r="C817" s="15"/>
      <c r="D817" s="17">
        <f>SUBTOTAL(9,D818:D820)</f>
        <v>323.20999999999998</v>
      </c>
      <c r="E817" s="13">
        <f t="shared" si="310"/>
        <v>-323.20999999999998</v>
      </c>
      <c r="F817" s="17">
        <v>0</v>
      </c>
      <c r="G817" s="118">
        <f>G818+G852</f>
        <v>9704.1699999999983</v>
      </c>
      <c r="H817" s="121"/>
      <c r="I817" s="113">
        <f t="shared" ref="I817:J817" si="312">I818+I852</f>
        <v>6479.57</v>
      </c>
      <c r="J817" s="113">
        <f t="shared" si="312"/>
        <v>6672.3799999999992</v>
      </c>
      <c r="K817" s="129"/>
      <c r="P817" s="155">
        <f>F824+F825+F826+F827+F828+F830+F843+F845+F850+F851+F858+F860</f>
        <v>9951.64</v>
      </c>
      <c r="S817" s="155">
        <f t="shared" ref="S817:T817" si="313">I824+I825+I826+I827+I828+I830+I843+I845+I850+I851+I858+I860</f>
        <v>6479.57</v>
      </c>
      <c r="T817" s="155">
        <f t="shared" si="313"/>
        <v>6672.3799999999992</v>
      </c>
    </row>
    <row r="818" spans="1:20" s="47" customFormat="1" ht="15" customHeight="1">
      <c r="A818" s="28" t="s">
        <v>46</v>
      </c>
      <c r="B818" s="15" t="s">
        <v>446</v>
      </c>
      <c r="C818" s="4" t="s">
        <v>47</v>
      </c>
      <c r="D818" s="17"/>
      <c r="E818" s="13">
        <f t="shared" si="310"/>
        <v>0</v>
      </c>
      <c r="F818" s="17">
        <v>0</v>
      </c>
      <c r="G818" s="118">
        <f>G819+G846</f>
        <v>9504.1699999999983</v>
      </c>
      <c r="H818" s="121"/>
      <c r="I818" s="113">
        <f t="shared" ref="I818:J818" si="314">I819+I846</f>
        <v>6479.57</v>
      </c>
      <c r="J818" s="113">
        <f t="shared" si="314"/>
        <v>6672.3799999999992</v>
      </c>
      <c r="K818" s="129"/>
    </row>
    <row r="819" spans="1:20" ht="38.25" customHeight="1">
      <c r="A819" s="28" t="s">
        <v>19</v>
      </c>
      <c r="B819" s="15" t="s">
        <v>446</v>
      </c>
      <c r="C819" s="4">
        <v>244</v>
      </c>
      <c r="D819" s="17">
        <f>90.71+182.5+48</f>
        <v>321.20999999999998</v>
      </c>
      <c r="E819" s="13">
        <f t="shared" si="310"/>
        <v>-321.20999999999998</v>
      </c>
      <c r="F819" s="17">
        <v>0</v>
      </c>
      <c r="G819" s="117">
        <f>G820</f>
        <v>9504.1699999999983</v>
      </c>
      <c r="H819" s="120"/>
      <c r="I819" s="108">
        <f t="shared" ref="I819:J820" si="315">I820</f>
        <v>6479.57</v>
      </c>
      <c r="J819" s="108">
        <f t="shared" si="315"/>
        <v>6672.3799999999992</v>
      </c>
      <c r="K819" s="129"/>
    </row>
    <row r="820" spans="1:20" ht="15.75" customHeight="1">
      <c r="A820" s="28" t="s">
        <v>21</v>
      </c>
      <c r="B820" s="15" t="s">
        <v>446</v>
      </c>
      <c r="C820" s="15" t="s">
        <v>22</v>
      </c>
      <c r="D820" s="17">
        <v>2</v>
      </c>
      <c r="E820" s="13">
        <f t="shared" si="310"/>
        <v>-2</v>
      </c>
      <c r="F820" s="17">
        <v>0</v>
      </c>
      <c r="G820" s="117">
        <f>G821</f>
        <v>9504.1699999999983</v>
      </c>
      <c r="H820" s="120"/>
      <c r="I820" s="108">
        <f t="shared" si="315"/>
        <v>6479.57</v>
      </c>
      <c r="J820" s="108">
        <f t="shared" si="315"/>
        <v>6672.3799999999992</v>
      </c>
      <c r="K820" s="129"/>
    </row>
    <row r="821" spans="1:20" ht="24.75" customHeight="1">
      <c r="A821" s="37" t="s">
        <v>249</v>
      </c>
      <c r="B821" s="4" t="s">
        <v>250</v>
      </c>
      <c r="C821" s="4" t="s">
        <v>192</v>
      </c>
      <c r="D821" s="17">
        <v>12200</v>
      </c>
      <c r="E821" s="12">
        <f t="shared" si="310"/>
        <v>-12200</v>
      </c>
      <c r="F821" s="17">
        <v>0</v>
      </c>
      <c r="G821" s="117">
        <f>G822+G844+G841</f>
        <v>9504.1699999999983</v>
      </c>
      <c r="H821" s="120"/>
      <c r="I821" s="108">
        <f t="shared" ref="I821:J821" si="316">I822+I841</f>
        <v>6479.57</v>
      </c>
      <c r="J821" s="108">
        <f t="shared" si="316"/>
        <v>6672.3799999999992</v>
      </c>
      <c r="K821" s="129"/>
    </row>
    <row r="822" spans="1:20" ht="25.5" customHeight="1">
      <c r="A822" s="30" t="s">
        <v>440</v>
      </c>
      <c r="B822" s="15" t="s">
        <v>438</v>
      </c>
      <c r="C822" s="7"/>
      <c r="D822" s="17">
        <f>D841</f>
        <v>0</v>
      </c>
      <c r="E822" s="13">
        <f t="shared" si="310"/>
        <v>33.6</v>
      </c>
      <c r="F822" s="17">
        <f>F823+F829</f>
        <v>33.6</v>
      </c>
      <c r="G822" s="117">
        <f>G831+G834+G839</f>
        <v>8932.2699999999986</v>
      </c>
      <c r="H822" s="120"/>
      <c r="I822" s="108">
        <f t="shared" ref="I822:J822" si="317">I823+I829</f>
        <v>6057.67</v>
      </c>
      <c r="J822" s="108">
        <f t="shared" si="317"/>
        <v>6250.48</v>
      </c>
      <c r="K822" s="129"/>
    </row>
    <row r="823" spans="1:20" ht="25.5" customHeight="1">
      <c r="A823" s="30" t="s">
        <v>437</v>
      </c>
      <c r="B823" s="7" t="s">
        <v>438</v>
      </c>
      <c r="C823" s="7"/>
      <c r="D823" s="17">
        <f>D831</f>
        <v>0</v>
      </c>
      <c r="E823" s="13">
        <f t="shared" si="310"/>
        <v>0</v>
      </c>
      <c r="F823" s="17">
        <f>F824</f>
        <v>0</v>
      </c>
      <c r="G823" s="117"/>
      <c r="H823" s="120"/>
      <c r="I823" s="108">
        <f t="shared" ref="I823:J823" si="318">SUM(I824:I828)</f>
        <v>5815.11</v>
      </c>
      <c r="J823" s="108">
        <f t="shared" si="318"/>
        <v>6007.9199999999992</v>
      </c>
      <c r="K823" s="129"/>
    </row>
    <row r="824" spans="1:20" ht="16.5" customHeight="1">
      <c r="A824" s="30" t="s">
        <v>437</v>
      </c>
      <c r="B824" s="7" t="s">
        <v>438</v>
      </c>
      <c r="C824" s="4"/>
      <c r="D824" s="17"/>
      <c r="E824" s="13">
        <f t="shared" si="310"/>
        <v>0</v>
      </c>
      <c r="F824" s="17">
        <v>0</v>
      </c>
      <c r="G824" s="117"/>
      <c r="H824" s="120"/>
      <c r="I824" s="107">
        <f t="shared" ref="I824" si="319">7503.43-3219.88</f>
        <v>4283.55</v>
      </c>
      <c r="J824" s="107">
        <f>7503.43-3219.88</f>
        <v>4283.55</v>
      </c>
      <c r="K824" s="129"/>
    </row>
    <row r="825" spans="1:20" ht="27.75" customHeight="1">
      <c r="A825" s="28" t="s">
        <v>183</v>
      </c>
      <c r="B825" s="15" t="s">
        <v>499</v>
      </c>
      <c r="C825" s="7"/>
      <c r="D825" s="17"/>
      <c r="E825" s="13">
        <f t="shared" si="310"/>
        <v>2496.31</v>
      </c>
      <c r="F825" s="17">
        <f>F826</f>
        <v>2496.31</v>
      </c>
      <c r="G825" s="117"/>
      <c r="H825" s="120"/>
      <c r="I825" s="107">
        <v>226.8</v>
      </c>
      <c r="J825" s="107">
        <v>226.8</v>
      </c>
      <c r="K825" s="129"/>
    </row>
    <row r="826" spans="1:20" ht="40.5" customHeight="1">
      <c r="A826" s="28" t="s">
        <v>503</v>
      </c>
      <c r="B826" s="15" t="s">
        <v>500</v>
      </c>
      <c r="C826" s="7"/>
      <c r="D826" s="17"/>
      <c r="E826" s="13">
        <f t="shared" si="310"/>
        <v>2496.31</v>
      </c>
      <c r="F826" s="17">
        <f>F827</f>
        <v>2496.31</v>
      </c>
      <c r="G826" s="117"/>
      <c r="H826" s="120"/>
      <c r="I826" s="107">
        <f t="shared" ref="I826:J826" si="320">2266.04-972.4</f>
        <v>1293.6399999999999</v>
      </c>
      <c r="J826" s="107">
        <f t="shared" si="320"/>
        <v>1293.6399999999999</v>
      </c>
      <c r="K826" s="129"/>
    </row>
    <row r="827" spans="1:20" ht="25.5" customHeight="1">
      <c r="A827" s="28" t="s">
        <v>558</v>
      </c>
      <c r="B827" s="15" t="s">
        <v>557</v>
      </c>
      <c r="C827" s="7"/>
      <c r="D827" s="17"/>
      <c r="E827" s="13">
        <f t="shared" si="310"/>
        <v>2496.31</v>
      </c>
      <c r="F827" s="17">
        <f>F828+F829+F830</f>
        <v>2496.31</v>
      </c>
      <c r="G827" s="117"/>
      <c r="H827" s="120"/>
      <c r="I827" s="107"/>
      <c r="J827" s="107">
        <f t="shared" ref="J827" si="321">10442.76-4283.55-226.8-1293.64-11.12-242.56-4192.28</f>
        <v>192.80999999999949</v>
      </c>
      <c r="K827" s="129"/>
    </row>
    <row r="828" spans="1:20" ht="26.25" customHeight="1">
      <c r="A828" s="28" t="s">
        <v>104</v>
      </c>
      <c r="B828" s="15" t="s">
        <v>557</v>
      </c>
      <c r="C828" s="4" t="s">
        <v>42</v>
      </c>
      <c r="D828" s="17"/>
      <c r="E828" s="13">
        <f t="shared" si="310"/>
        <v>1891.48</v>
      </c>
      <c r="F828" s="17">
        <v>1891.48</v>
      </c>
      <c r="G828" s="117"/>
      <c r="H828" s="120"/>
      <c r="I828" s="107">
        <v>11.12</v>
      </c>
      <c r="J828" s="107">
        <v>11.12</v>
      </c>
      <c r="K828" s="129"/>
    </row>
    <row r="829" spans="1:20" ht="43.5" customHeight="1">
      <c r="A829" s="28" t="s">
        <v>46</v>
      </c>
      <c r="B829" s="15" t="s">
        <v>557</v>
      </c>
      <c r="C829" s="4">
        <v>122</v>
      </c>
      <c r="D829" s="17"/>
      <c r="E829" s="13">
        <f t="shared" si="310"/>
        <v>33.6</v>
      </c>
      <c r="F829" s="17">
        <v>33.6</v>
      </c>
      <c r="G829" s="117"/>
      <c r="H829" s="120"/>
      <c r="I829" s="108">
        <f t="shared" ref="I829:J829" si="322">I830</f>
        <v>242.56</v>
      </c>
      <c r="J829" s="108">
        <f t="shared" si="322"/>
        <v>242.56</v>
      </c>
      <c r="K829" s="129"/>
    </row>
    <row r="830" spans="1:20" ht="25.5" customHeight="1">
      <c r="A830" s="28" t="s">
        <v>43</v>
      </c>
      <c r="B830" s="15" t="s">
        <v>557</v>
      </c>
      <c r="C830" s="4" t="s">
        <v>44</v>
      </c>
      <c r="D830" s="17"/>
      <c r="E830" s="13">
        <f t="shared" si="310"/>
        <v>571.23</v>
      </c>
      <c r="F830" s="17">
        <v>571.23</v>
      </c>
      <c r="G830" s="117"/>
      <c r="H830" s="120"/>
      <c r="I830" s="107">
        <v>242.56</v>
      </c>
      <c r="J830" s="107">
        <v>242.56</v>
      </c>
      <c r="K830" s="129"/>
    </row>
    <row r="831" spans="1:20" ht="25.5" customHeight="1">
      <c r="A831" s="28" t="s">
        <v>185</v>
      </c>
      <c r="B831" s="15" t="s">
        <v>501</v>
      </c>
      <c r="C831" s="7"/>
      <c r="D831" s="17"/>
      <c r="E831" s="13">
        <f t="shared" si="310"/>
        <v>1515.31</v>
      </c>
      <c r="F831" s="17">
        <f>F832</f>
        <v>1515.31</v>
      </c>
      <c r="G831" s="115">
        <f>SUBTOTAL(9,G832:G833)</f>
        <v>8372.2999999999993</v>
      </c>
      <c r="H831" s="144"/>
      <c r="I831" s="145"/>
      <c r="J831" s="145"/>
      <c r="K831" s="129"/>
    </row>
    <row r="832" spans="1:20" ht="17.25" customHeight="1">
      <c r="A832" s="28" t="s">
        <v>504</v>
      </c>
      <c r="B832" s="15" t="s">
        <v>502</v>
      </c>
      <c r="C832" s="7"/>
      <c r="D832" s="17"/>
      <c r="E832" s="13">
        <f t="shared" si="310"/>
        <v>1515.31</v>
      </c>
      <c r="F832" s="17">
        <f>F833</f>
        <v>1515.31</v>
      </c>
      <c r="G832" s="115">
        <f>7352-922</f>
        <v>6430</v>
      </c>
      <c r="H832" s="144"/>
      <c r="I832" s="145"/>
      <c r="J832" s="145"/>
      <c r="K832" s="129"/>
    </row>
    <row r="833" spans="1:11" ht="39.75" customHeight="1">
      <c r="A833" s="28" t="s">
        <v>561</v>
      </c>
      <c r="B833" s="15" t="s">
        <v>559</v>
      </c>
      <c r="C833" s="7"/>
      <c r="D833" s="17"/>
      <c r="E833" s="13">
        <f t="shared" si="310"/>
        <v>1515.31</v>
      </c>
      <c r="F833" s="17">
        <f>F834+F835+F836</f>
        <v>1515.31</v>
      </c>
      <c r="G833" s="115">
        <f>2220.3-278</f>
        <v>1942.3000000000002</v>
      </c>
      <c r="H833" s="144"/>
      <c r="I833" s="145"/>
      <c r="J833" s="145"/>
      <c r="K833" s="129"/>
    </row>
    <row r="834" spans="1:11" ht="25.5" customHeight="1">
      <c r="A834" s="28" t="s">
        <v>104</v>
      </c>
      <c r="B834" s="15" t="s">
        <v>559</v>
      </c>
      <c r="C834" s="4" t="s">
        <v>42</v>
      </c>
      <c r="D834" s="17"/>
      <c r="E834" s="13">
        <f t="shared" si="310"/>
        <v>1155.23</v>
      </c>
      <c r="F834" s="17">
        <v>1155.23</v>
      </c>
      <c r="G834" s="115">
        <f>SUBTOTAL(9,G835:G838)</f>
        <v>254.88</v>
      </c>
      <c r="H834" s="144"/>
      <c r="I834" s="145"/>
      <c r="J834" s="145"/>
      <c r="K834" s="129"/>
    </row>
    <row r="835" spans="1:11" ht="25.5" customHeight="1">
      <c r="A835" s="28" t="s">
        <v>46</v>
      </c>
      <c r="B835" s="15" t="s">
        <v>559</v>
      </c>
      <c r="C835" s="4">
        <v>122</v>
      </c>
      <c r="D835" s="17"/>
      <c r="E835" s="13">
        <f t="shared" si="310"/>
        <v>11.2</v>
      </c>
      <c r="F835" s="17">
        <v>11.2</v>
      </c>
      <c r="G835" s="115"/>
      <c r="H835" s="144"/>
      <c r="I835" s="145"/>
      <c r="J835" s="145"/>
      <c r="K835" s="129"/>
    </row>
    <row r="836" spans="1:11" ht="25.5" customHeight="1">
      <c r="A836" s="28" t="s">
        <v>43</v>
      </c>
      <c r="B836" s="15" t="s">
        <v>559</v>
      </c>
      <c r="C836" s="4" t="s">
        <v>44</v>
      </c>
      <c r="D836" s="17"/>
      <c r="E836" s="13">
        <f t="shared" si="310"/>
        <v>348.88</v>
      </c>
      <c r="F836" s="17">
        <v>348.88</v>
      </c>
      <c r="G836" s="115">
        <f>45.48+24.64+34.43+9.7+128</f>
        <v>242.25</v>
      </c>
      <c r="H836" s="144"/>
      <c r="I836" s="145"/>
      <c r="J836" s="145"/>
      <c r="K836" s="129"/>
    </row>
    <row r="837" spans="1:11" ht="25.5" customHeight="1">
      <c r="A837" s="28" t="s">
        <v>194</v>
      </c>
      <c r="B837" s="7" t="s">
        <v>506</v>
      </c>
      <c r="C837" s="7"/>
      <c r="D837" s="17"/>
      <c r="E837" s="13">
        <f t="shared" si="310"/>
        <v>3179.51</v>
      </c>
      <c r="F837" s="17">
        <f>F838</f>
        <v>3179.51</v>
      </c>
      <c r="G837" s="115">
        <f>5+5.84</f>
        <v>10.84</v>
      </c>
      <c r="H837" s="144"/>
      <c r="I837" s="145"/>
      <c r="J837" s="145"/>
      <c r="K837" s="129"/>
    </row>
    <row r="838" spans="1:11" ht="15" customHeight="1">
      <c r="A838" s="28" t="s">
        <v>563</v>
      </c>
      <c r="B838" s="7" t="s">
        <v>505</v>
      </c>
      <c r="C838" s="7"/>
      <c r="D838" s="17"/>
      <c r="E838" s="13">
        <f t="shared" si="310"/>
        <v>3179.51</v>
      </c>
      <c r="F838" s="17">
        <f>F839</f>
        <v>3179.51</v>
      </c>
      <c r="G838" s="115">
        <v>1.79</v>
      </c>
      <c r="H838" s="144"/>
      <c r="I838" s="145"/>
      <c r="J838" s="145"/>
      <c r="K838" s="129"/>
    </row>
    <row r="839" spans="1:11" ht="25.5" customHeight="1">
      <c r="A839" s="30" t="s">
        <v>564</v>
      </c>
      <c r="B839" s="7" t="s">
        <v>560</v>
      </c>
      <c r="C839" s="7"/>
      <c r="D839" s="17"/>
      <c r="E839" s="13">
        <f t="shared" si="310"/>
        <v>3179.51</v>
      </c>
      <c r="F839" s="17">
        <f>SUM(F840:F842)</f>
        <v>3179.51</v>
      </c>
      <c r="G839" s="115">
        <f>G840</f>
        <v>305.08999999999997</v>
      </c>
      <c r="H839" s="144"/>
      <c r="I839" s="145"/>
      <c r="J839" s="145"/>
      <c r="K839" s="129"/>
    </row>
    <row r="840" spans="1:11" ht="25.5" customHeight="1">
      <c r="A840" s="28" t="s">
        <v>104</v>
      </c>
      <c r="B840" s="7" t="s">
        <v>560</v>
      </c>
      <c r="C840" s="4" t="s">
        <v>42</v>
      </c>
      <c r="D840" s="17"/>
      <c r="E840" s="13">
        <f t="shared" si="310"/>
        <v>2416.21</v>
      </c>
      <c r="F840" s="17">
        <v>2416.21</v>
      </c>
      <c r="G840" s="115">
        <v>305.08999999999997</v>
      </c>
      <c r="H840" s="144"/>
      <c r="I840" s="145"/>
      <c r="J840" s="145"/>
      <c r="K840" s="129"/>
    </row>
    <row r="841" spans="1:11" ht="25.5" customHeight="1">
      <c r="A841" s="28" t="s">
        <v>105</v>
      </c>
      <c r="B841" s="7" t="s">
        <v>560</v>
      </c>
      <c r="C841" s="4">
        <v>122</v>
      </c>
      <c r="D841" s="17"/>
      <c r="E841" s="13">
        <f t="shared" si="310"/>
        <v>33.6</v>
      </c>
      <c r="F841" s="17">
        <v>33.6</v>
      </c>
      <c r="G841" s="17">
        <f>G843</f>
        <v>150</v>
      </c>
      <c r="H841" s="120"/>
      <c r="I841" s="108">
        <f t="shared" ref="I841:J841" si="323">I842+I844</f>
        <v>421.9</v>
      </c>
      <c r="J841" s="108">
        <f t="shared" si="323"/>
        <v>421.9</v>
      </c>
      <c r="K841" s="129"/>
    </row>
    <row r="842" spans="1:11" ht="45" customHeight="1">
      <c r="A842" s="28" t="s">
        <v>43</v>
      </c>
      <c r="B842" s="7" t="s">
        <v>560</v>
      </c>
      <c r="C842" s="4" t="s">
        <v>44</v>
      </c>
      <c r="D842" s="17"/>
      <c r="E842" s="13">
        <f t="shared" si="310"/>
        <v>729.7</v>
      </c>
      <c r="F842" s="17">
        <v>729.7</v>
      </c>
      <c r="G842" s="17"/>
      <c r="H842" s="120"/>
      <c r="I842" s="108">
        <f t="shared" ref="I842:J842" si="324">I843</f>
        <v>0</v>
      </c>
      <c r="J842" s="108">
        <f t="shared" si="324"/>
        <v>0</v>
      </c>
      <c r="K842" s="129"/>
    </row>
    <row r="843" spans="1:11" ht="25.5" customHeight="1">
      <c r="A843" s="30" t="s">
        <v>441</v>
      </c>
      <c r="B843" s="15" t="s">
        <v>182</v>
      </c>
      <c r="C843" s="7"/>
      <c r="D843" s="17">
        <f>+D848+D852+D844</f>
        <v>7674.16</v>
      </c>
      <c r="E843" s="13">
        <f t="shared" ref="E843:E874" si="325">F843-D843</f>
        <v>-7674.16</v>
      </c>
      <c r="F843" s="17">
        <v>0</v>
      </c>
      <c r="G843" s="146">
        <v>150</v>
      </c>
      <c r="H843" s="120"/>
      <c r="I843" s="107"/>
      <c r="J843" s="107"/>
      <c r="K843" s="129"/>
    </row>
    <row r="844" spans="1:11" ht="36.75" customHeight="1">
      <c r="A844" s="30" t="s">
        <v>439</v>
      </c>
      <c r="B844" s="7" t="s">
        <v>182</v>
      </c>
      <c r="C844" s="7"/>
      <c r="D844" s="17">
        <f>D845</f>
        <v>4295.76</v>
      </c>
      <c r="E844" s="13">
        <f t="shared" si="325"/>
        <v>-4295.76</v>
      </c>
      <c r="F844" s="17">
        <v>0</v>
      </c>
      <c r="G844" s="17">
        <f>G845</f>
        <v>421.9</v>
      </c>
      <c r="H844" s="120"/>
      <c r="I844" s="108">
        <f t="shared" ref="I844:J844" si="326">I845</f>
        <v>421.9</v>
      </c>
      <c r="J844" s="108">
        <f t="shared" si="326"/>
        <v>421.9</v>
      </c>
      <c r="K844" s="129"/>
    </row>
    <row r="845" spans="1:11" ht="25.5" customHeight="1">
      <c r="A845" s="30" t="s">
        <v>193</v>
      </c>
      <c r="B845" s="7" t="s">
        <v>182</v>
      </c>
      <c r="C845" s="4"/>
      <c r="D845" s="17">
        <f>D846</f>
        <v>4295.76</v>
      </c>
      <c r="E845" s="13">
        <f t="shared" si="325"/>
        <v>-4295.76</v>
      </c>
      <c r="F845" s="17">
        <v>0</v>
      </c>
      <c r="G845" s="117">
        <f>422.2-0.3</f>
        <v>421.9</v>
      </c>
      <c r="H845" s="120"/>
      <c r="I845" s="107">
        <v>421.9</v>
      </c>
      <c r="J845" s="107">
        <v>421.9</v>
      </c>
      <c r="K845" s="129" t="s">
        <v>523</v>
      </c>
    </row>
    <row r="846" spans="1:11" ht="29.25" customHeight="1">
      <c r="A846" s="30" t="s">
        <v>193</v>
      </c>
      <c r="B846" s="7" t="s">
        <v>182</v>
      </c>
      <c r="C846" s="15"/>
      <c r="D846" s="17">
        <f>D847</f>
        <v>4295.76</v>
      </c>
      <c r="E846" s="13">
        <f t="shared" si="325"/>
        <v>-4295.76</v>
      </c>
      <c r="F846" s="17">
        <v>0</v>
      </c>
      <c r="G846" s="17">
        <f t="shared" ref="G846:G848" si="327">G847</f>
        <v>0</v>
      </c>
      <c r="H846" s="120"/>
      <c r="I846" s="108">
        <f t="shared" ref="I846:J848" si="328">I847</f>
        <v>0</v>
      </c>
      <c r="J846" s="108">
        <f t="shared" si="328"/>
        <v>0</v>
      </c>
      <c r="K846" s="129"/>
    </row>
    <row r="847" spans="1:11" ht="25.5" customHeight="1">
      <c r="A847" s="28" t="s">
        <v>187</v>
      </c>
      <c r="B847" s="15" t="s">
        <v>435</v>
      </c>
      <c r="C847" s="15"/>
      <c r="D847" s="17">
        <f>D848+D851</f>
        <v>4295.76</v>
      </c>
      <c r="E847" s="13">
        <f t="shared" si="325"/>
        <v>-4295.76</v>
      </c>
      <c r="F847" s="17">
        <v>0</v>
      </c>
      <c r="G847" s="17">
        <f t="shared" si="327"/>
        <v>0</v>
      </c>
      <c r="H847" s="120"/>
      <c r="I847" s="108">
        <f t="shared" si="328"/>
        <v>0</v>
      </c>
      <c r="J847" s="108">
        <f t="shared" si="328"/>
        <v>0</v>
      </c>
      <c r="K847" s="129"/>
    </row>
    <row r="848" spans="1:11" ht="25.5" customHeight="1">
      <c r="A848" s="28" t="s">
        <v>188</v>
      </c>
      <c r="B848" s="15" t="s">
        <v>436</v>
      </c>
      <c r="C848" s="15"/>
      <c r="D848" s="17">
        <f>SUBTOTAL(9,D849:D850)</f>
        <v>3378.4</v>
      </c>
      <c r="E848" s="13">
        <f t="shared" si="325"/>
        <v>-3378.4</v>
      </c>
      <c r="F848" s="17">
        <v>0</v>
      </c>
      <c r="G848" s="17">
        <f t="shared" si="327"/>
        <v>0</v>
      </c>
      <c r="H848" s="120"/>
      <c r="I848" s="108">
        <f t="shared" si="328"/>
        <v>0</v>
      </c>
      <c r="J848" s="108">
        <f t="shared" si="328"/>
        <v>0</v>
      </c>
      <c r="K848" s="129"/>
    </row>
    <row r="849" spans="1:11" ht="38.25" customHeight="1">
      <c r="A849" s="28" t="s">
        <v>104</v>
      </c>
      <c r="B849" s="15" t="s">
        <v>436</v>
      </c>
      <c r="C849" s="15" t="s">
        <v>42</v>
      </c>
      <c r="D849" s="17">
        <v>2594.8000000000002</v>
      </c>
      <c r="E849" s="13">
        <f t="shared" si="325"/>
        <v>-2594.8000000000002</v>
      </c>
      <c r="F849" s="17">
        <v>0</v>
      </c>
      <c r="G849" s="17">
        <f>G850+G851</f>
        <v>0</v>
      </c>
      <c r="H849" s="120"/>
      <c r="I849" s="108">
        <f t="shared" ref="I849:J849" si="329">I850+I851</f>
        <v>0</v>
      </c>
      <c r="J849" s="108">
        <f t="shared" si="329"/>
        <v>0</v>
      </c>
      <c r="K849" s="129"/>
    </row>
    <row r="850" spans="1:11" ht="16.5" customHeight="1">
      <c r="A850" s="28" t="s">
        <v>43</v>
      </c>
      <c r="B850" s="15" t="s">
        <v>436</v>
      </c>
      <c r="C850" s="15" t="s">
        <v>44</v>
      </c>
      <c r="D850" s="17">
        <v>783.6</v>
      </c>
      <c r="E850" s="13">
        <f t="shared" si="325"/>
        <v>-783.6</v>
      </c>
      <c r="F850" s="17">
        <v>0</v>
      </c>
      <c r="G850" s="117"/>
      <c r="H850" s="120"/>
      <c r="I850" s="128"/>
      <c r="J850" s="128"/>
      <c r="K850" s="129" t="s">
        <v>524</v>
      </c>
    </row>
    <row r="851" spans="1:11" ht="39" customHeight="1">
      <c r="A851" s="28" t="s">
        <v>189</v>
      </c>
      <c r="B851" s="15" t="s">
        <v>442</v>
      </c>
      <c r="C851" s="15"/>
      <c r="D851" s="17">
        <f>SUBTOTAL(9,D852:D857)</f>
        <v>917.36</v>
      </c>
      <c r="E851" s="13">
        <f t="shared" si="325"/>
        <v>-917.36</v>
      </c>
      <c r="F851" s="17">
        <v>0</v>
      </c>
      <c r="G851" s="117"/>
      <c r="H851" s="120"/>
      <c r="I851" s="128"/>
      <c r="J851" s="128"/>
      <c r="K851" s="129" t="s">
        <v>524</v>
      </c>
    </row>
    <row r="852" spans="1:11" s="47" customFormat="1" ht="16.5" customHeight="1">
      <c r="A852" s="28" t="s">
        <v>46</v>
      </c>
      <c r="B852" s="15" t="s">
        <v>442</v>
      </c>
      <c r="C852" s="4" t="s">
        <v>47</v>
      </c>
      <c r="D852" s="17"/>
      <c r="E852" s="13">
        <f t="shared" si="325"/>
        <v>0</v>
      </c>
      <c r="F852" s="17">
        <v>0</v>
      </c>
      <c r="G852" s="21">
        <f>G853</f>
        <v>200</v>
      </c>
      <c r="H852" s="121"/>
      <c r="I852" s="113">
        <f t="shared" ref="I852:J853" si="330">I853</f>
        <v>0</v>
      </c>
      <c r="J852" s="113">
        <f t="shared" si="330"/>
        <v>0</v>
      </c>
      <c r="K852" s="129"/>
    </row>
    <row r="853" spans="1:11" ht="15.75" customHeight="1">
      <c r="A853" s="28" t="s">
        <v>190</v>
      </c>
      <c r="B853" s="15" t="s">
        <v>442</v>
      </c>
      <c r="C853" s="4" t="s">
        <v>191</v>
      </c>
      <c r="D853" s="17">
        <v>504</v>
      </c>
      <c r="E853" s="13">
        <f t="shared" si="325"/>
        <v>-504</v>
      </c>
      <c r="F853" s="17">
        <v>0</v>
      </c>
      <c r="G853" s="17">
        <f>G854</f>
        <v>200</v>
      </c>
      <c r="H853" s="120"/>
      <c r="I853" s="108">
        <f t="shared" si="330"/>
        <v>0</v>
      </c>
      <c r="J853" s="108">
        <f t="shared" si="330"/>
        <v>0</v>
      </c>
      <c r="K853" s="129"/>
    </row>
    <row r="854" spans="1:11" ht="24.75" customHeight="1">
      <c r="A854" s="28" t="s">
        <v>19</v>
      </c>
      <c r="B854" s="15" t="s">
        <v>442</v>
      </c>
      <c r="C854" s="4">
        <v>244</v>
      </c>
      <c r="D854" s="17">
        <f>17.76+20+37.9+30+298.2</f>
        <v>403.86</v>
      </c>
      <c r="E854" s="13">
        <f t="shared" si="325"/>
        <v>-403.86</v>
      </c>
      <c r="F854" s="17">
        <v>0</v>
      </c>
      <c r="G854" s="17">
        <f>G859+G858</f>
        <v>200</v>
      </c>
      <c r="H854" s="120"/>
      <c r="I854" s="108">
        <f t="shared" ref="I854:J854" si="331">I856</f>
        <v>0</v>
      </c>
      <c r="J854" s="108">
        <f t="shared" si="331"/>
        <v>0</v>
      </c>
      <c r="K854" s="129"/>
    </row>
    <row r="855" spans="1:11" ht="20.25" customHeight="1">
      <c r="A855" s="28" t="s">
        <v>30</v>
      </c>
      <c r="B855" s="15" t="s">
        <v>442</v>
      </c>
      <c r="C855" s="15" t="s">
        <v>31</v>
      </c>
      <c r="D855" s="17"/>
      <c r="E855" s="13">
        <f t="shared" si="325"/>
        <v>0</v>
      </c>
      <c r="F855" s="17">
        <v>0</v>
      </c>
      <c r="G855" s="115">
        <v>200</v>
      </c>
      <c r="H855" s="144"/>
      <c r="I855" s="145"/>
      <c r="J855" s="145"/>
      <c r="K855" s="129"/>
    </row>
    <row r="856" spans="1:11" ht="21.75" customHeight="1">
      <c r="A856" s="28" t="s">
        <v>32</v>
      </c>
      <c r="B856" s="15" t="s">
        <v>442</v>
      </c>
      <c r="C856" s="15" t="s">
        <v>33</v>
      </c>
      <c r="D856" s="17">
        <v>9.5</v>
      </c>
      <c r="E856" s="13">
        <f t="shared" si="325"/>
        <v>-9.5</v>
      </c>
      <c r="F856" s="17">
        <v>0</v>
      </c>
      <c r="G856" s="17"/>
      <c r="H856" s="120"/>
      <c r="I856" s="108">
        <f t="shared" ref="I856:J857" si="332">I857</f>
        <v>0</v>
      </c>
      <c r="J856" s="108">
        <f t="shared" si="332"/>
        <v>0</v>
      </c>
      <c r="K856" s="129"/>
    </row>
    <row r="857" spans="1:11" ht="19.5" customHeight="1">
      <c r="A857" s="28" t="s">
        <v>21</v>
      </c>
      <c r="B857" s="15" t="s">
        <v>442</v>
      </c>
      <c r="C857" s="15" t="s">
        <v>22</v>
      </c>
      <c r="D857" s="17"/>
      <c r="E857" s="13">
        <f t="shared" si="325"/>
        <v>0</v>
      </c>
      <c r="F857" s="17">
        <v>0</v>
      </c>
      <c r="G857" s="17"/>
      <c r="H857" s="120"/>
      <c r="I857" s="108">
        <f t="shared" si="332"/>
        <v>0</v>
      </c>
      <c r="J857" s="108">
        <f t="shared" si="332"/>
        <v>0</v>
      </c>
      <c r="K857" s="129"/>
    </row>
    <row r="858" spans="1:11" ht="25.5" customHeight="1">
      <c r="A858" s="28" t="s">
        <v>183</v>
      </c>
      <c r="B858" s="15" t="s">
        <v>184</v>
      </c>
      <c r="C858" s="15"/>
      <c r="D858" s="17">
        <f>SUBTOTAL(9,D859:D861)</f>
        <v>2361.44</v>
      </c>
      <c r="E858" s="13">
        <f t="shared" si="325"/>
        <v>-2361.44</v>
      </c>
      <c r="F858" s="17">
        <v>0</v>
      </c>
      <c r="G858" s="117">
        <v>200</v>
      </c>
      <c r="H858" s="120"/>
      <c r="I858" s="107"/>
      <c r="J858" s="107"/>
      <c r="K858" s="129"/>
    </row>
    <row r="859" spans="1:11" ht="25.5" customHeight="1">
      <c r="A859" s="28" t="s">
        <v>104</v>
      </c>
      <c r="B859" s="15" t="s">
        <v>184</v>
      </c>
      <c r="C859" s="4" t="s">
        <v>42</v>
      </c>
      <c r="D859" s="17">
        <v>1813.7</v>
      </c>
      <c r="E859" s="13">
        <f t="shared" si="325"/>
        <v>-1813.7</v>
      </c>
      <c r="F859" s="17">
        <v>0</v>
      </c>
      <c r="G859" s="17">
        <f>G860</f>
        <v>0</v>
      </c>
      <c r="H859" s="120"/>
      <c r="I859" s="108">
        <f t="shared" ref="I859:J859" si="333">I860</f>
        <v>0</v>
      </c>
      <c r="J859" s="108">
        <f t="shared" si="333"/>
        <v>0</v>
      </c>
      <c r="K859" s="129"/>
    </row>
    <row r="860" spans="1:11" ht="25.5" customHeight="1">
      <c r="A860" s="28" t="s">
        <v>46</v>
      </c>
      <c r="B860" s="15" t="s">
        <v>184</v>
      </c>
      <c r="C860" s="4">
        <v>122</v>
      </c>
      <c r="D860" s="17"/>
      <c r="E860" s="13">
        <f t="shared" si="325"/>
        <v>0</v>
      </c>
      <c r="F860" s="17">
        <v>0</v>
      </c>
      <c r="G860" s="117"/>
      <c r="H860" s="120"/>
      <c r="I860" s="107"/>
      <c r="J860" s="107"/>
      <c r="K860" s="129"/>
    </row>
    <row r="861" spans="1:11" s="47" customFormat="1" ht="15" customHeight="1">
      <c r="A861" s="28" t="s">
        <v>43</v>
      </c>
      <c r="B861" s="15" t="s">
        <v>184</v>
      </c>
      <c r="C861" s="4" t="s">
        <v>44</v>
      </c>
      <c r="D861" s="17">
        <v>547.74</v>
      </c>
      <c r="E861" s="13">
        <f t="shared" si="325"/>
        <v>-547.74</v>
      </c>
      <c r="F861" s="17">
        <v>0</v>
      </c>
      <c r="G861" s="106">
        <f>G862</f>
        <v>100</v>
      </c>
      <c r="H861" s="153"/>
      <c r="I861" s="154"/>
      <c r="J861" s="154"/>
      <c r="K861" s="129"/>
    </row>
    <row r="862" spans="1:11" s="47" customFormat="1" ht="15" customHeight="1">
      <c r="A862" s="28" t="s">
        <v>185</v>
      </c>
      <c r="B862" s="15" t="s">
        <v>186</v>
      </c>
      <c r="C862" s="15"/>
      <c r="D862" s="17">
        <f>SUBTOTAL(9,D863:D865)</f>
        <v>1432.0800000000002</v>
      </c>
      <c r="E862" s="13">
        <f t="shared" si="325"/>
        <v>-1432.0800000000002</v>
      </c>
      <c r="F862" s="17">
        <v>0</v>
      </c>
      <c r="G862" s="106">
        <f>G866</f>
        <v>100</v>
      </c>
      <c r="H862" s="153"/>
      <c r="I862" s="154"/>
      <c r="J862" s="154"/>
      <c r="K862" s="129"/>
    </row>
    <row r="863" spans="1:11" ht="25.5" customHeight="1">
      <c r="A863" s="28" t="s">
        <v>104</v>
      </c>
      <c r="B863" s="15" t="s">
        <v>186</v>
      </c>
      <c r="C863" s="4" t="s">
        <v>42</v>
      </c>
      <c r="D863" s="17">
        <v>1099.9100000000001</v>
      </c>
      <c r="E863" s="13">
        <f t="shared" si="325"/>
        <v>-1099.9100000000001</v>
      </c>
      <c r="F863" s="17">
        <v>0</v>
      </c>
      <c r="G863" s="115">
        <f t="shared" ref="G863:G866" si="334">G864</f>
        <v>100</v>
      </c>
      <c r="H863" s="144"/>
      <c r="I863" s="145"/>
      <c r="J863" s="145"/>
      <c r="K863" s="129"/>
    </row>
    <row r="864" spans="1:11" ht="25.5" customHeight="1">
      <c r="A864" s="28" t="s">
        <v>46</v>
      </c>
      <c r="B864" s="15" t="s">
        <v>186</v>
      </c>
      <c r="C864" s="4">
        <v>122</v>
      </c>
      <c r="D864" s="17"/>
      <c r="E864" s="13">
        <f t="shared" si="325"/>
        <v>0</v>
      </c>
      <c r="F864" s="17">
        <v>0</v>
      </c>
      <c r="G864" s="115">
        <f t="shared" si="334"/>
        <v>100</v>
      </c>
      <c r="H864" s="144"/>
      <c r="I864" s="145"/>
      <c r="J864" s="145"/>
      <c r="K864" s="129"/>
    </row>
    <row r="865" spans="1:11" ht="15" customHeight="1">
      <c r="A865" s="28" t="s">
        <v>276</v>
      </c>
      <c r="B865" s="15" t="s">
        <v>186</v>
      </c>
      <c r="C865" s="4" t="s">
        <v>44</v>
      </c>
      <c r="D865" s="17">
        <v>332.17</v>
      </c>
      <c r="E865" s="13">
        <f t="shared" si="325"/>
        <v>-332.17</v>
      </c>
      <c r="F865" s="17">
        <v>0</v>
      </c>
      <c r="G865" s="115">
        <f>G866</f>
        <v>100</v>
      </c>
      <c r="H865" s="144"/>
      <c r="I865" s="145"/>
      <c r="J865" s="145"/>
      <c r="K865" s="129"/>
    </row>
    <row r="866" spans="1:11" ht="15" customHeight="1">
      <c r="A866" s="28" t="s">
        <v>204</v>
      </c>
      <c r="B866" s="15" t="s">
        <v>205</v>
      </c>
      <c r="C866" s="4"/>
      <c r="D866" s="17">
        <f>SUBTOTAL(9,D867:D870)</f>
        <v>118.6</v>
      </c>
      <c r="E866" s="13">
        <f t="shared" si="325"/>
        <v>-118.6</v>
      </c>
      <c r="F866" s="17">
        <v>0</v>
      </c>
      <c r="G866" s="115">
        <f t="shared" si="334"/>
        <v>100</v>
      </c>
      <c r="H866" s="144"/>
      <c r="I866" s="145"/>
      <c r="J866" s="145"/>
      <c r="K866" s="129"/>
    </row>
    <row r="867" spans="1:11" ht="25.5" customHeight="1">
      <c r="A867" s="28" t="s">
        <v>104</v>
      </c>
      <c r="B867" s="15" t="s">
        <v>205</v>
      </c>
      <c r="C867" s="15" t="s">
        <v>42</v>
      </c>
      <c r="D867" s="17">
        <v>95</v>
      </c>
      <c r="E867" s="13">
        <f t="shared" si="325"/>
        <v>-95</v>
      </c>
      <c r="F867" s="17">
        <v>0</v>
      </c>
      <c r="G867" s="115">
        <v>100</v>
      </c>
      <c r="H867" s="144"/>
      <c r="I867" s="145"/>
      <c r="J867" s="145"/>
      <c r="K867" s="129"/>
    </row>
    <row r="868" spans="1:11" s="47" customFormat="1" ht="15" customHeight="1">
      <c r="A868" s="28" t="s">
        <v>46</v>
      </c>
      <c r="B868" s="15" t="s">
        <v>205</v>
      </c>
      <c r="C868" s="15" t="s">
        <v>47</v>
      </c>
      <c r="D868" s="17"/>
      <c r="E868" s="13">
        <f t="shared" si="325"/>
        <v>0</v>
      </c>
      <c r="F868" s="17">
        <v>0</v>
      </c>
      <c r="G868" s="21" t="e">
        <f t="shared" ref="G868" si="335">G869</f>
        <v>#REF!</v>
      </c>
      <c r="H868" s="121"/>
      <c r="I868" s="113">
        <f t="shared" ref="I868:J873" si="336">I869</f>
        <v>3214.92</v>
      </c>
      <c r="J868" s="113">
        <f t="shared" si="336"/>
        <v>3296.06</v>
      </c>
      <c r="K868" s="129"/>
    </row>
    <row r="869" spans="1:11" s="47" customFormat="1" ht="15" customHeight="1">
      <c r="A869" s="28" t="s">
        <v>276</v>
      </c>
      <c r="B869" s="15" t="s">
        <v>205</v>
      </c>
      <c r="C869" s="15" t="s">
        <v>44</v>
      </c>
      <c r="D869" s="17">
        <f>28.7-5.1</f>
        <v>23.6</v>
      </c>
      <c r="E869" s="13">
        <f t="shared" si="325"/>
        <v>-23.6</v>
      </c>
      <c r="F869" s="17">
        <v>0</v>
      </c>
      <c r="G869" s="21" t="e">
        <f>G870+#REF!</f>
        <v>#REF!</v>
      </c>
      <c r="H869" s="121"/>
      <c r="I869" s="113">
        <f t="shared" si="336"/>
        <v>3214.92</v>
      </c>
      <c r="J869" s="113">
        <f t="shared" si="336"/>
        <v>3296.06</v>
      </c>
      <c r="K869" s="129"/>
    </row>
    <row r="870" spans="1:11" ht="25.5" customHeight="1">
      <c r="A870" s="28" t="s">
        <v>19</v>
      </c>
      <c r="B870" s="15" t="s">
        <v>205</v>
      </c>
      <c r="C870" s="15" t="s">
        <v>20</v>
      </c>
      <c r="D870" s="17"/>
      <c r="E870" s="13">
        <f t="shared" si="325"/>
        <v>0</v>
      </c>
      <c r="F870" s="17">
        <v>0</v>
      </c>
      <c r="G870" s="17" t="e">
        <f>G871</f>
        <v>#REF!</v>
      </c>
      <c r="H870" s="120"/>
      <c r="I870" s="108">
        <f t="shared" si="336"/>
        <v>3214.92</v>
      </c>
      <c r="J870" s="108">
        <f t="shared" si="336"/>
        <v>3296.06</v>
      </c>
      <c r="K870" s="129"/>
    </row>
    <row r="871" spans="1:11" ht="15" customHeight="1">
      <c r="A871" s="28" t="s">
        <v>218</v>
      </c>
      <c r="B871" s="16" t="s">
        <v>219</v>
      </c>
      <c r="C871" s="15"/>
      <c r="D871" s="17">
        <f>SUBTOTAL(9,D872:D874)</f>
        <v>491.3</v>
      </c>
      <c r="E871" s="13">
        <f t="shared" si="325"/>
        <v>-491.3</v>
      </c>
      <c r="F871" s="17">
        <v>0</v>
      </c>
      <c r="G871" s="17" t="e">
        <f>G872</f>
        <v>#REF!</v>
      </c>
      <c r="H871" s="120"/>
      <c r="I871" s="108">
        <f t="shared" si="336"/>
        <v>3214.92</v>
      </c>
      <c r="J871" s="108">
        <f t="shared" si="336"/>
        <v>3296.06</v>
      </c>
      <c r="K871" s="129"/>
    </row>
    <row r="872" spans="1:11" ht="25.5" customHeight="1">
      <c r="A872" s="28" t="s">
        <v>104</v>
      </c>
      <c r="B872" s="16" t="s">
        <v>219</v>
      </c>
      <c r="C872" s="15" t="s">
        <v>42</v>
      </c>
      <c r="D872" s="17">
        <f>491.3-82</f>
        <v>409.3</v>
      </c>
      <c r="E872" s="13">
        <f t="shared" si="325"/>
        <v>-409.3</v>
      </c>
      <c r="F872" s="17">
        <v>0</v>
      </c>
      <c r="G872" s="13" t="e">
        <f>G873</f>
        <v>#REF!</v>
      </c>
      <c r="H872" s="120"/>
      <c r="I872" s="104">
        <f t="shared" si="336"/>
        <v>3214.92</v>
      </c>
      <c r="J872" s="104">
        <f t="shared" si="336"/>
        <v>3296.06</v>
      </c>
      <c r="K872" s="129"/>
    </row>
    <row r="873" spans="1:11" ht="25.5" customHeight="1">
      <c r="A873" s="28" t="s">
        <v>276</v>
      </c>
      <c r="B873" s="16" t="s">
        <v>219</v>
      </c>
      <c r="C873" s="15" t="s">
        <v>44</v>
      </c>
      <c r="D873" s="17">
        <f>106.8-20.8-4</f>
        <v>82</v>
      </c>
      <c r="E873" s="13">
        <f t="shared" si="325"/>
        <v>-82</v>
      </c>
      <c r="F873" s="17">
        <v>0</v>
      </c>
      <c r="G873" s="13" t="e">
        <f>#REF!+#REF!</f>
        <v>#REF!</v>
      </c>
      <c r="H873" s="120"/>
      <c r="I873" s="104">
        <f t="shared" si="336"/>
        <v>3214.92</v>
      </c>
      <c r="J873" s="104">
        <f t="shared" si="336"/>
        <v>3296.06</v>
      </c>
      <c r="K873" s="129"/>
    </row>
    <row r="874" spans="1:11" ht="25.5" customHeight="1">
      <c r="A874" s="28" t="s">
        <v>19</v>
      </c>
      <c r="B874" s="16" t="s">
        <v>219</v>
      </c>
      <c r="C874" s="15" t="s">
        <v>20</v>
      </c>
      <c r="D874" s="17"/>
      <c r="E874" s="13">
        <f t="shared" si="325"/>
        <v>0</v>
      </c>
      <c r="F874" s="17">
        <v>0</v>
      </c>
      <c r="G874" s="13"/>
      <c r="H874" s="120"/>
      <c r="I874" s="104">
        <f>SUM(I875:I878)</f>
        <v>3214.92</v>
      </c>
      <c r="J874" s="104">
        <f>SUM(J875:J878)</f>
        <v>3296.06</v>
      </c>
      <c r="K874" s="129"/>
    </row>
    <row r="875" spans="1:11" ht="16.5" customHeight="1">
      <c r="A875" s="28" t="s">
        <v>194</v>
      </c>
      <c r="B875" s="15" t="s">
        <v>195</v>
      </c>
      <c r="C875" s="15"/>
      <c r="D875" s="17">
        <f>SUBTOTAL(9,D876:D878)</f>
        <v>2930.18</v>
      </c>
      <c r="E875" s="13">
        <f t="shared" ref="E875:E878" si="337">F875-D875</f>
        <v>-2930.18</v>
      </c>
      <c r="F875" s="17">
        <v>0</v>
      </c>
      <c r="G875" s="13"/>
      <c r="H875" s="120"/>
      <c r="I875" s="100">
        <v>2417.7600000000002</v>
      </c>
      <c r="J875" s="100">
        <v>2417.7600000000002</v>
      </c>
      <c r="K875" s="129"/>
    </row>
    <row r="876" spans="1:11" ht="27" customHeight="1">
      <c r="A876" s="28" t="s">
        <v>104</v>
      </c>
      <c r="B876" s="15" t="s">
        <v>195</v>
      </c>
      <c r="C876" s="4" t="s">
        <v>42</v>
      </c>
      <c r="D876" s="17">
        <v>2317.5</v>
      </c>
      <c r="E876" s="13">
        <f t="shared" si="337"/>
        <v>-2317.5</v>
      </c>
      <c r="F876" s="17">
        <v>0</v>
      </c>
      <c r="G876" s="13"/>
      <c r="H876" s="120"/>
      <c r="I876" s="100">
        <v>67</v>
      </c>
      <c r="J876" s="100">
        <v>67</v>
      </c>
      <c r="K876" s="129"/>
    </row>
    <row r="877" spans="1:11" ht="40.5" customHeight="1">
      <c r="A877" s="28" t="s">
        <v>105</v>
      </c>
      <c r="B877" s="15" t="s">
        <v>195</v>
      </c>
      <c r="C877" s="4">
        <v>122</v>
      </c>
      <c r="D877" s="17"/>
      <c r="E877" s="13">
        <f t="shared" si="337"/>
        <v>0</v>
      </c>
      <c r="F877" s="17">
        <v>0</v>
      </c>
      <c r="G877" s="13"/>
      <c r="H877" s="120"/>
      <c r="I877" s="100">
        <v>730.16</v>
      </c>
      <c r="J877" s="100">
        <v>730.16</v>
      </c>
      <c r="K877" s="129"/>
    </row>
    <row r="878" spans="1:11" ht="25.5" customHeight="1">
      <c r="A878" s="28" t="s">
        <v>43</v>
      </c>
      <c r="B878" s="15" t="s">
        <v>195</v>
      </c>
      <c r="C878" s="4" t="s">
        <v>44</v>
      </c>
      <c r="D878" s="17">
        <v>612.67999999999995</v>
      </c>
      <c r="E878" s="13">
        <f t="shared" si="337"/>
        <v>-612.67999999999995</v>
      </c>
      <c r="F878" s="17">
        <v>0</v>
      </c>
      <c r="G878" s="13"/>
      <c r="H878" s="120"/>
      <c r="I878" s="100"/>
      <c r="J878" s="100">
        <f t="shared" ref="J878" si="338">3296.38-2417.76-67-730.16-0.32</f>
        <v>81.13999999999993</v>
      </c>
      <c r="K878" s="129"/>
    </row>
    <row r="879" spans="1:11" s="47" customFormat="1" ht="15" customHeight="1">
      <c r="A879" s="57" t="s">
        <v>251</v>
      </c>
      <c r="B879" s="54"/>
      <c r="C879" s="54"/>
      <c r="D879" s="21" t="e">
        <f>D10+D93+D334+D390+D560+D611+#REF!</f>
        <v>#REF!</v>
      </c>
      <c r="E879" s="12">
        <v>583955.97</v>
      </c>
      <c r="F879" s="21">
        <v>1192654.05</v>
      </c>
      <c r="G879" s="118" t="e">
        <f>G10+G93+G334+G390+G560+G611+#REF!</f>
        <v>#REF!</v>
      </c>
      <c r="H879" s="121"/>
      <c r="I879" s="113" t="e">
        <f>#REF!+I611+I560+I390+I334+I93+I10</f>
        <v>#REF!</v>
      </c>
      <c r="J879" s="113" t="e">
        <f>#REF!+J611+J560+J390+J334+J93+J10</f>
        <v>#REF!</v>
      </c>
    </row>
    <row r="880" spans="1:11" s="52" customFormat="1">
      <c r="A880" s="109"/>
      <c r="B880" s="110"/>
      <c r="C880" s="110"/>
      <c r="D880" s="51"/>
      <c r="E880" s="51"/>
      <c r="F880" s="51"/>
      <c r="G880" s="51"/>
      <c r="I880" s="125"/>
      <c r="J880" s="125"/>
    </row>
    <row r="881" spans="1:11" s="52" customFormat="1">
      <c r="A881" s="109"/>
      <c r="B881" s="110"/>
      <c r="C881" s="110"/>
      <c r="D881" s="51"/>
      <c r="E881" s="51"/>
      <c r="F881" s="51"/>
      <c r="G881" s="51"/>
      <c r="I881" s="125"/>
      <c r="J881" s="125"/>
    </row>
    <row r="882" spans="1:11" s="52" customFormat="1">
      <c r="A882" s="109"/>
      <c r="B882" s="110"/>
      <c r="C882" s="110"/>
      <c r="D882" s="51"/>
      <c r="E882" s="51"/>
      <c r="F882" s="51"/>
      <c r="G882" s="51"/>
      <c r="I882" s="125"/>
      <c r="J882" s="125"/>
    </row>
    <row r="883" spans="1:11" s="52" customFormat="1">
      <c r="A883" s="109"/>
      <c r="B883" s="110"/>
      <c r="C883" s="110"/>
      <c r="D883" s="51"/>
      <c r="E883" s="137" t="s">
        <v>524</v>
      </c>
      <c r="F883" s="18">
        <v>119946.2</v>
      </c>
      <c r="G883" s="51"/>
      <c r="I883" s="18">
        <v>11202.8</v>
      </c>
      <c r="J883" s="18">
        <v>11543.3</v>
      </c>
    </row>
    <row r="884" spans="1:11" s="52" customFormat="1">
      <c r="A884" s="109"/>
      <c r="B884" s="110"/>
      <c r="C884" s="110"/>
      <c r="D884" s="51"/>
      <c r="E884" s="137" t="s">
        <v>523</v>
      </c>
      <c r="F884" s="18">
        <v>502032.4</v>
      </c>
      <c r="G884" s="51"/>
      <c r="I884" s="18">
        <v>442575</v>
      </c>
      <c r="J884" s="18">
        <v>428172.1</v>
      </c>
    </row>
    <row r="885" spans="1:11" s="52" customFormat="1">
      <c r="A885" s="109"/>
      <c r="B885" s="110"/>
      <c r="C885" s="110"/>
      <c r="D885" s="51"/>
      <c r="E885" s="137" t="s">
        <v>528</v>
      </c>
      <c r="F885" s="18">
        <v>11266.2</v>
      </c>
      <c r="G885" s="51"/>
      <c r="I885" s="18">
        <v>0</v>
      </c>
      <c r="J885" s="18">
        <v>0</v>
      </c>
    </row>
    <row r="886" spans="1:11" s="52" customFormat="1">
      <c r="A886" s="109"/>
      <c r="B886" s="110"/>
      <c r="C886" s="110"/>
      <c r="D886" s="51"/>
      <c r="E886" s="137" t="s">
        <v>530</v>
      </c>
      <c r="F886" s="18">
        <v>385284.9</v>
      </c>
      <c r="G886" s="51"/>
      <c r="I886" s="18">
        <v>308227.90000000002</v>
      </c>
      <c r="J886" s="18">
        <v>428172.1</v>
      </c>
      <c r="K886" s="138"/>
    </row>
    <row r="887" spans="1:11" s="52" customFormat="1">
      <c r="A887" s="109"/>
      <c r="B887" s="110"/>
      <c r="C887" s="110"/>
      <c r="D887" s="51"/>
      <c r="E887" s="137" t="s">
        <v>531</v>
      </c>
      <c r="F887" s="18"/>
      <c r="G887" s="51"/>
      <c r="I887" s="18"/>
      <c r="J887" s="18"/>
    </row>
    <row r="888" spans="1:11" s="52" customFormat="1">
      <c r="A888" s="109"/>
      <c r="B888" s="110"/>
      <c r="C888" s="110"/>
      <c r="D888" s="51"/>
      <c r="E888" s="137" t="s">
        <v>532</v>
      </c>
      <c r="F888" s="18">
        <v>174124.35</v>
      </c>
      <c r="G888" s="51"/>
      <c r="I888" s="18">
        <v>174124.35</v>
      </c>
      <c r="J888" s="18">
        <v>174124.35</v>
      </c>
    </row>
    <row r="889" spans="1:11" s="52" customFormat="1">
      <c r="A889" s="109"/>
      <c r="B889" s="110"/>
      <c r="C889" s="110"/>
      <c r="D889" s="51"/>
      <c r="E889" s="137" t="s">
        <v>533</v>
      </c>
      <c r="F889" s="18">
        <f>SUM(F883:F888)</f>
        <v>1192654.05</v>
      </c>
      <c r="G889" s="51"/>
      <c r="I889" s="18">
        <f t="shared" ref="I889:J889" si="339">SUM(I883:I888)</f>
        <v>936130.04999999993</v>
      </c>
      <c r="J889" s="18">
        <f t="shared" si="339"/>
        <v>1042011.85</v>
      </c>
    </row>
    <row r="890" spans="1:11" s="52" customFormat="1">
      <c r="A890" s="109"/>
      <c r="B890" s="110"/>
      <c r="C890" s="110"/>
      <c r="D890" s="51"/>
      <c r="E890" s="136" t="s">
        <v>534</v>
      </c>
      <c r="F890" s="51">
        <f>F879-F889</f>
        <v>0</v>
      </c>
      <c r="G890" s="51"/>
      <c r="I890" s="51" t="e">
        <f t="shared" ref="I890:J890" si="340">I879-I889</f>
        <v>#REF!</v>
      </c>
      <c r="J890" s="51" t="e">
        <f t="shared" si="340"/>
        <v>#REF!</v>
      </c>
    </row>
    <row r="891" spans="1:11" s="52" customFormat="1">
      <c r="A891" s="109"/>
      <c r="B891" s="110"/>
      <c r="C891" s="110"/>
      <c r="D891" s="51"/>
      <c r="E891" s="147"/>
      <c r="F891" s="51"/>
      <c r="G891" s="51"/>
      <c r="I891" s="133"/>
      <c r="J891" s="133"/>
    </row>
    <row r="892" spans="1:11" s="52" customFormat="1">
      <c r="A892" s="109"/>
      <c r="B892" s="110"/>
      <c r="C892" s="110"/>
      <c r="D892" s="51"/>
      <c r="E892" s="51"/>
      <c r="F892" s="51"/>
      <c r="G892" s="51"/>
      <c r="I892" s="133"/>
      <c r="J892" s="125"/>
    </row>
    <row r="893" spans="1:11" s="52" customFormat="1">
      <c r="A893" s="109"/>
      <c r="B893" s="110"/>
      <c r="C893" s="110"/>
      <c r="D893" s="51"/>
      <c r="E893" s="51"/>
      <c r="F893" s="51"/>
      <c r="G893" s="51"/>
      <c r="I893" s="125"/>
      <c r="J893" s="125"/>
    </row>
    <row r="894" spans="1:11" s="52" customFormat="1">
      <c r="A894" s="109"/>
      <c r="B894" s="110"/>
      <c r="C894" s="110"/>
      <c r="D894" s="51"/>
      <c r="E894" s="51"/>
      <c r="F894" s="51"/>
      <c r="G894" s="51"/>
      <c r="I894" s="125"/>
      <c r="J894" s="125"/>
    </row>
    <row r="895" spans="1:11" s="52" customFormat="1">
      <c r="A895" s="109"/>
      <c r="B895" s="110"/>
      <c r="C895" s="110"/>
      <c r="D895" s="51"/>
      <c r="E895" s="51"/>
      <c r="F895" s="51"/>
      <c r="G895" s="51"/>
      <c r="I895" s="125"/>
      <c r="J895" s="125"/>
    </row>
    <row r="896" spans="1:11" s="52" customFormat="1">
      <c r="A896" s="109"/>
      <c r="B896" s="110"/>
      <c r="C896" s="110"/>
      <c r="D896" s="136"/>
      <c r="E896" s="136"/>
      <c r="F896" s="51"/>
      <c r="G896" s="51"/>
      <c r="I896" s="125"/>
      <c r="J896" s="125"/>
    </row>
    <row r="897" spans="1:10" s="52" customFormat="1">
      <c r="A897" s="109"/>
      <c r="B897" s="110"/>
      <c r="C897" s="110"/>
      <c r="D897" s="51"/>
      <c r="E897" s="51"/>
      <c r="F897" s="51"/>
      <c r="G897" s="51"/>
      <c r="I897" s="125"/>
      <c r="J897" s="125"/>
    </row>
    <row r="898" spans="1:10" s="52" customFormat="1">
      <c r="A898" s="109"/>
      <c r="B898" s="110"/>
      <c r="C898" s="110"/>
      <c r="D898" s="51"/>
      <c r="E898" s="51"/>
      <c r="F898" s="51"/>
      <c r="G898" s="51"/>
      <c r="I898" s="125"/>
      <c r="J898" s="125"/>
    </row>
    <row r="899" spans="1:10" s="52" customFormat="1">
      <c r="A899" s="109"/>
      <c r="B899" s="110"/>
      <c r="C899" s="110"/>
      <c r="D899" s="51"/>
      <c r="E899" s="51"/>
      <c r="F899" s="51"/>
      <c r="G899" s="51"/>
      <c r="I899" s="125"/>
      <c r="J899" s="125"/>
    </row>
    <row r="900" spans="1:10" s="52" customFormat="1">
      <c r="A900" s="109"/>
      <c r="B900" s="110"/>
      <c r="C900" s="110"/>
      <c r="D900" s="51"/>
      <c r="E900" s="51"/>
      <c r="F900" s="51"/>
      <c r="G900" s="51"/>
      <c r="I900" s="125"/>
      <c r="J900" s="125"/>
    </row>
    <row r="901" spans="1:10" s="52" customFormat="1">
      <c r="A901" s="109"/>
      <c r="B901" s="110"/>
      <c r="C901" s="110"/>
      <c r="D901" s="51"/>
      <c r="E901" s="51"/>
      <c r="F901" s="51"/>
      <c r="G901" s="51"/>
      <c r="I901" s="125"/>
      <c r="J901" s="125"/>
    </row>
    <row r="902" spans="1:10" s="52" customFormat="1">
      <c r="A902" s="109"/>
      <c r="B902" s="110"/>
      <c r="C902" s="110"/>
      <c r="D902" s="51"/>
      <c r="E902" s="51"/>
      <c r="F902" s="51"/>
      <c r="G902" s="51"/>
      <c r="I902" s="125"/>
      <c r="J902" s="125"/>
    </row>
    <row r="903" spans="1:10" s="52" customFormat="1">
      <c r="A903" s="109"/>
      <c r="B903" s="110"/>
      <c r="C903" s="110"/>
      <c r="D903" s="51"/>
      <c r="E903" s="51"/>
      <c r="F903" s="51"/>
      <c r="G903" s="51"/>
      <c r="I903" s="125"/>
      <c r="J903" s="125"/>
    </row>
    <row r="904" spans="1:10" s="52" customFormat="1">
      <c r="A904" s="109"/>
      <c r="B904" s="110"/>
      <c r="C904" s="110"/>
      <c r="D904" s="51"/>
      <c r="E904" s="51"/>
      <c r="F904" s="51"/>
      <c r="G904" s="51"/>
      <c r="I904" s="125"/>
      <c r="J904" s="125"/>
    </row>
    <row r="905" spans="1:10" s="52" customFormat="1">
      <c r="A905" s="109"/>
      <c r="B905" s="110"/>
      <c r="C905" s="110"/>
      <c r="D905" s="51"/>
      <c r="E905" s="51"/>
      <c r="F905" s="51"/>
      <c r="G905" s="51"/>
      <c r="I905" s="125"/>
      <c r="J905" s="125"/>
    </row>
    <row r="906" spans="1:10" s="52" customFormat="1">
      <c r="A906" s="109"/>
      <c r="B906" s="110"/>
      <c r="C906" s="110"/>
      <c r="D906" s="51"/>
      <c r="E906" s="51"/>
      <c r="F906" s="51"/>
      <c r="G906" s="51"/>
      <c r="I906" s="125"/>
      <c r="J906" s="125"/>
    </row>
    <row r="907" spans="1:10" s="52" customFormat="1">
      <c r="A907" s="109"/>
      <c r="B907" s="110"/>
      <c r="C907" s="110"/>
      <c r="D907" s="51"/>
      <c r="E907" s="51"/>
      <c r="F907" s="51"/>
      <c r="G907" s="51"/>
      <c r="I907" s="125"/>
      <c r="J907" s="125"/>
    </row>
    <row r="908" spans="1:10" s="52" customFormat="1">
      <c r="A908" s="109"/>
      <c r="B908" s="110"/>
      <c r="C908" s="110"/>
      <c r="D908" s="51"/>
      <c r="E908" s="51"/>
      <c r="F908" s="51"/>
      <c r="G908" s="51"/>
      <c r="I908" s="125"/>
      <c r="J908" s="125"/>
    </row>
    <row r="909" spans="1:10" s="52" customFormat="1">
      <c r="A909" s="109"/>
      <c r="B909" s="110"/>
      <c r="C909" s="110"/>
      <c r="D909" s="51"/>
      <c r="E909" s="51"/>
      <c r="F909" s="51"/>
      <c r="G909" s="51"/>
      <c r="I909" s="125"/>
      <c r="J909" s="125"/>
    </row>
    <row r="910" spans="1:10" s="52" customFormat="1">
      <c r="A910" s="109"/>
      <c r="B910" s="110"/>
      <c r="C910" s="110"/>
      <c r="D910" s="51"/>
      <c r="E910" s="51"/>
      <c r="F910" s="51"/>
      <c r="G910" s="51"/>
      <c r="I910" s="125"/>
      <c r="J910" s="125"/>
    </row>
    <row r="911" spans="1:10" s="52" customFormat="1">
      <c r="A911" s="109"/>
      <c r="B911" s="110"/>
      <c r="C911" s="110"/>
      <c r="D911" s="51"/>
      <c r="E911" s="51"/>
      <c r="F911" s="51"/>
      <c r="G911" s="51"/>
      <c r="I911" s="125"/>
      <c r="J911" s="125"/>
    </row>
    <row r="912" spans="1:10" s="52" customFormat="1">
      <c r="A912" s="109"/>
      <c r="B912" s="110"/>
      <c r="C912" s="110"/>
      <c r="D912" s="51"/>
      <c r="E912" s="51"/>
      <c r="F912" s="51"/>
      <c r="G912" s="51"/>
      <c r="I912" s="125"/>
      <c r="J912" s="125"/>
    </row>
    <row r="913" spans="1:10" s="52" customFormat="1">
      <c r="A913" s="109"/>
      <c r="B913" s="110"/>
      <c r="C913" s="110"/>
      <c r="D913" s="51"/>
      <c r="E913" s="51"/>
      <c r="F913" s="51"/>
      <c r="G913" s="51"/>
      <c r="I913" s="125"/>
      <c r="J913" s="125"/>
    </row>
    <row r="914" spans="1:10" s="52" customFormat="1">
      <c r="A914" s="109"/>
      <c r="B914" s="110"/>
      <c r="C914" s="110"/>
      <c r="D914" s="51"/>
      <c r="E914" s="51"/>
      <c r="F914" s="51"/>
      <c r="G914" s="51"/>
      <c r="I914" s="125"/>
      <c r="J914" s="125"/>
    </row>
    <row r="915" spans="1:10" s="52" customFormat="1">
      <c r="A915" s="109"/>
      <c r="B915" s="110"/>
      <c r="C915" s="110"/>
      <c r="D915" s="51"/>
      <c r="E915" s="51"/>
      <c r="F915" s="51"/>
      <c r="G915" s="51"/>
      <c r="I915" s="125"/>
      <c r="J915" s="125"/>
    </row>
    <row r="916" spans="1:10" s="52" customFormat="1">
      <c r="A916" s="109"/>
      <c r="B916" s="110"/>
      <c r="C916" s="110"/>
      <c r="D916" s="51"/>
      <c r="E916" s="51"/>
      <c r="F916" s="51"/>
      <c r="G916" s="51"/>
      <c r="I916" s="125"/>
      <c r="J916" s="125"/>
    </row>
    <row r="917" spans="1:10" s="52" customFormat="1">
      <c r="A917" s="109"/>
      <c r="B917" s="110"/>
      <c r="C917" s="110"/>
      <c r="D917" s="51"/>
      <c r="E917" s="51"/>
      <c r="F917" s="51"/>
      <c r="G917" s="51"/>
      <c r="I917" s="125"/>
      <c r="J917" s="125"/>
    </row>
    <row r="918" spans="1:10" s="52" customFormat="1">
      <c r="A918" s="109"/>
      <c r="B918" s="110"/>
      <c r="C918" s="110"/>
      <c r="D918" s="51"/>
      <c r="E918" s="51"/>
      <c r="F918" s="51"/>
      <c r="G918" s="51"/>
      <c r="I918" s="125"/>
      <c r="J918" s="125"/>
    </row>
  </sheetData>
  <autoFilter ref="A9:N879">
    <filterColumn colId="1"/>
    <filterColumn colId="2"/>
    <filterColumn colId="10"/>
  </autoFilter>
  <sortState ref="A10:F947">
    <sortCondition ref="B10:B947"/>
  </sortState>
  <mergeCells count="17">
    <mergeCell ref="B1:F1"/>
    <mergeCell ref="A4:G4"/>
    <mergeCell ref="A5:C5"/>
    <mergeCell ref="A6:A8"/>
    <mergeCell ref="B6:C6"/>
    <mergeCell ref="B7:C7"/>
    <mergeCell ref="D7:D8"/>
    <mergeCell ref="G7:G8"/>
    <mergeCell ref="E6:E8"/>
    <mergeCell ref="F6:F8"/>
    <mergeCell ref="N7:N8"/>
    <mergeCell ref="H7:H8"/>
    <mergeCell ref="I7:I8"/>
    <mergeCell ref="J7:J8"/>
    <mergeCell ref="K7:K8"/>
    <mergeCell ref="L7:L8"/>
    <mergeCell ref="M7:M8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533"/>
  <sheetViews>
    <sheetView view="pageBreakPreview" zoomScale="120" zoomScaleSheetLayoutView="120" workbookViewId="0">
      <selection activeCell="A4" sqref="A4:H4"/>
    </sheetView>
  </sheetViews>
  <sheetFormatPr defaultRowHeight="15"/>
  <cols>
    <col min="1" max="1" width="50.140625" style="38" customWidth="1"/>
    <col min="2" max="2" width="13" style="26" customWidth="1"/>
    <col min="3" max="3" width="7.28515625" style="26" customWidth="1"/>
    <col min="4" max="4" width="12.7109375" style="27" hidden="1" customWidth="1"/>
    <col min="5" max="5" width="18.140625" style="59" hidden="1" customWidth="1"/>
    <col min="6" max="6" width="17.140625" style="18" customWidth="1"/>
    <col min="7" max="7" width="15.7109375" style="51" customWidth="1"/>
    <col min="8" max="8" width="18.140625" style="51" customWidth="1"/>
    <col min="9" max="16384" width="9.140625" style="1"/>
  </cols>
  <sheetData>
    <row r="1" spans="1:8" s="52" customFormat="1" ht="45" customHeight="1">
      <c r="A1" s="65"/>
      <c r="B1" s="66"/>
      <c r="C1" s="66"/>
      <c r="D1" s="58"/>
      <c r="E1" s="58"/>
      <c r="F1" s="201" t="s">
        <v>484</v>
      </c>
      <c r="G1" s="201"/>
      <c r="H1" s="201"/>
    </row>
    <row r="2" spans="1:8" s="52" customFormat="1" ht="18.75" customHeight="1">
      <c r="A2" s="29"/>
      <c r="B2" s="3"/>
      <c r="C2" s="3"/>
      <c r="D2" s="202"/>
      <c r="E2" s="72"/>
      <c r="F2" s="201"/>
      <c r="G2" s="201"/>
      <c r="H2" s="201"/>
    </row>
    <row r="3" spans="1:8" s="52" customFormat="1" ht="16.5" customHeight="1">
      <c r="A3" s="29"/>
      <c r="B3" s="3"/>
      <c r="C3" s="3"/>
      <c r="D3" s="202"/>
      <c r="E3" s="72"/>
      <c r="F3" s="72"/>
      <c r="G3" s="72"/>
      <c r="H3" s="72"/>
    </row>
    <row r="4" spans="1:8" s="52" customFormat="1" ht="53.25" customHeight="1">
      <c r="A4" s="186" t="s">
        <v>471</v>
      </c>
      <c r="B4" s="186"/>
      <c r="C4" s="186"/>
      <c r="D4" s="186"/>
      <c r="E4" s="186"/>
      <c r="F4" s="186"/>
      <c r="G4" s="186"/>
      <c r="H4" s="186"/>
    </row>
    <row r="5" spans="1:8" s="52" customFormat="1" ht="30" customHeight="1">
      <c r="A5" s="187"/>
      <c r="B5" s="187"/>
      <c r="C5" s="187"/>
      <c r="D5" s="187"/>
      <c r="E5" s="71"/>
      <c r="F5" s="71"/>
      <c r="G5" s="71"/>
      <c r="H5" s="67" t="s">
        <v>467</v>
      </c>
    </row>
    <row r="6" spans="1:8" ht="15" customHeight="1">
      <c r="A6" s="203" t="s">
        <v>0</v>
      </c>
      <c r="B6" s="189"/>
      <c r="C6" s="189"/>
      <c r="D6" s="70" t="e">
        <f>SUBTOTAL(109,D11:D377)</f>
        <v>#REF!</v>
      </c>
      <c r="E6" s="64"/>
      <c r="F6" s="64"/>
      <c r="G6" s="64"/>
      <c r="H6" s="64"/>
    </row>
    <row r="7" spans="1:8" ht="41.25" customHeight="1">
      <c r="A7" s="204"/>
      <c r="B7" s="189"/>
      <c r="C7" s="189"/>
      <c r="D7" s="206" t="s">
        <v>462</v>
      </c>
      <c r="E7" s="206" t="s">
        <v>262</v>
      </c>
      <c r="F7" s="192" t="s">
        <v>1</v>
      </c>
      <c r="G7" s="192" t="s">
        <v>463</v>
      </c>
      <c r="H7" s="192" t="s">
        <v>464</v>
      </c>
    </row>
    <row r="8" spans="1:8" ht="33" customHeight="1">
      <c r="A8" s="205"/>
      <c r="B8" s="4" t="s">
        <v>2</v>
      </c>
      <c r="C8" s="5" t="s">
        <v>3</v>
      </c>
      <c r="D8" s="207"/>
      <c r="E8" s="207"/>
      <c r="F8" s="193"/>
      <c r="G8" s="193"/>
      <c r="H8" s="193"/>
    </row>
    <row r="9" spans="1:8" ht="23.25" customHeight="1">
      <c r="A9" s="6">
        <v>1</v>
      </c>
      <c r="B9" s="7" t="s">
        <v>469</v>
      </c>
      <c r="C9" s="7" t="s">
        <v>470</v>
      </c>
      <c r="D9" s="8">
        <v>9</v>
      </c>
      <c r="E9" s="8"/>
      <c r="F9" s="9">
        <v>4</v>
      </c>
      <c r="G9" s="9">
        <v>5</v>
      </c>
      <c r="H9" s="9">
        <v>6</v>
      </c>
    </row>
    <row r="10" spans="1:8" ht="38.25">
      <c r="A10" s="30" t="s">
        <v>309</v>
      </c>
      <c r="B10" s="7" t="s">
        <v>311</v>
      </c>
      <c r="C10" s="11"/>
      <c r="D10" s="42" t="e">
        <f>#REF!</f>
        <v>#REF!</v>
      </c>
      <c r="E10" s="42" t="e">
        <f>#REF!</f>
        <v>#REF!</v>
      </c>
      <c r="F10" s="13">
        <v>2936.69</v>
      </c>
      <c r="G10" s="42">
        <v>49280.639999999999</v>
      </c>
      <c r="H10" s="17">
        <v>49280.639999999999</v>
      </c>
    </row>
    <row r="11" spans="1:8" ht="25.5">
      <c r="A11" s="28" t="s">
        <v>213</v>
      </c>
      <c r="B11" s="16" t="s">
        <v>362</v>
      </c>
      <c r="C11" s="4"/>
      <c r="D11" s="42">
        <f>D14+D13</f>
        <v>200</v>
      </c>
      <c r="E11" s="42"/>
      <c r="F11" s="42">
        <f>F14+F13</f>
        <v>153.4</v>
      </c>
      <c r="G11" s="42">
        <f>G14+G13</f>
        <v>200</v>
      </c>
      <c r="H11" s="17">
        <f>H14+H13</f>
        <v>200</v>
      </c>
    </row>
    <row r="12" spans="1:8" s="47" customFormat="1">
      <c r="A12" s="14" t="s">
        <v>460</v>
      </c>
      <c r="B12" s="15" t="s">
        <v>461</v>
      </c>
      <c r="C12" s="15"/>
      <c r="D12" s="42">
        <v>200</v>
      </c>
      <c r="E12" s="42"/>
      <c r="F12" s="13">
        <f t="shared" ref="F12:F40" si="0">G12-E12</f>
        <v>200</v>
      </c>
      <c r="G12" s="42">
        <v>200</v>
      </c>
      <c r="H12" s="17">
        <v>200</v>
      </c>
    </row>
    <row r="13" spans="1:8" s="47" customFormat="1" ht="25.5">
      <c r="A13" s="14" t="s">
        <v>19</v>
      </c>
      <c r="B13" s="15" t="s">
        <v>461</v>
      </c>
      <c r="C13" s="15" t="s">
        <v>20</v>
      </c>
      <c r="D13" s="17">
        <v>200</v>
      </c>
      <c r="E13" s="42"/>
      <c r="F13" s="13">
        <f t="shared" si="0"/>
        <v>200</v>
      </c>
      <c r="G13" s="17">
        <v>200</v>
      </c>
      <c r="H13" s="17">
        <v>200</v>
      </c>
    </row>
    <row r="14" spans="1:8" ht="38.25">
      <c r="A14" s="28" t="s">
        <v>214</v>
      </c>
      <c r="B14" s="16" t="s">
        <v>363</v>
      </c>
      <c r="C14" s="15"/>
      <c r="D14" s="42">
        <f>D15</f>
        <v>0</v>
      </c>
      <c r="E14" s="42">
        <f>E15</f>
        <v>46.6</v>
      </c>
      <c r="F14" s="13">
        <f t="shared" si="0"/>
        <v>-46.6</v>
      </c>
      <c r="G14" s="42">
        <f>G15</f>
        <v>0</v>
      </c>
      <c r="H14" s="17">
        <f>H15</f>
        <v>0</v>
      </c>
    </row>
    <row r="15" spans="1:8" ht="25.5">
      <c r="A15" s="28" t="s">
        <v>19</v>
      </c>
      <c r="B15" s="16" t="s">
        <v>363</v>
      </c>
      <c r="C15" s="15" t="s">
        <v>20</v>
      </c>
      <c r="D15" s="42"/>
      <c r="E15" s="42">
        <v>46.6</v>
      </c>
      <c r="F15" s="13">
        <f t="shared" si="0"/>
        <v>-46.6</v>
      </c>
      <c r="G15" s="42"/>
      <c r="H15" s="17"/>
    </row>
    <row r="16" spans="1:8" ht="38.25">
      <c r="A16" s="28" t="s">
        <v>214</v>
      </c>
      <c r="B16" s="16" t="s">
        <v>363</v>
      </c>
      <c r="C16" s="15"/>
      <c r="D16" s="42">
        <f>D17</f>
        <v>48.2</v>
      </c>
      <c r="E16" s="42"/>
      <c r="F16" s="13">
        <f t="shared" si="0"/>
        <v>0</v>
      </c>
      <c r="G16" s="42">
        <f>G17</f>
        <v>0</v>
      </c>
      <c r="H16" s="17">
        <f>H17</f>
        <v>0</v>
      </c>
    </row>
    <row r="17" spans="1:8" ht="25.5">
      <c r="A17" s="28" t="s">
        <v>19</v>
      </c>
      <c r="B17" s="16" t="s">
        <v>363</v>
      </c>
      <c r="C17" s="15" t="s">
        <v>20</v>
      </c>
      <c r="D17" s="42">
        <v>48.2</v>
      </c>
      <c r="E17" s="42"/>
      <c r="F17" s="13">
        <f t="shared" si="0"/>
        <v>0</v>
      </c>
      <c r="G17" s="42"/>
      <c r="H17" s="17"/>
    </row>
    <row r="18" spans="1:8" ht="25.5">
      <c r="A18" s="28" t="s">
        <v>137</v>
      </c>
      <c r="B18" s="15" t="s">
        <v>373</v>
      </c>
      <c r="C18" s="15"/>
      <c r="D18" s="42">
        <f>D19+D32+D30</f>
        <v>9549.1699999999983</v>
      </c>
      <c r="E18" s="42">
        <f>E19+E32</f>
        <v>9649.83</v>
      </c>
      <c r="F18" s="13">
        <f t="shared" si="0"/>
        <v>-145.66000000000167</v>
      </c>
      <c r="G18" s="42">
        <f>G19+G32+G30</f>
        <v>9504.1699999999983</v>
      </c>
      <c r="H18" s="17">
        <f>H19+H32+H30</f>
        <v>9504.1699999999983</v>
      </c>
    </row>
    <row r="19" spans="1:8" ht="25.5">
      <c r="A19" s="28" t="s">
        <v>225</v>
      </c>
      <c r="B19" s="15" t="s">
        <v>374</v>
      </c>
      <c r="C19" s="15"/>
      <c r="D19" s="42">
        <f>D20+D23+D28</f>
        <v>8977.2699999999986</v>
      </c>
      <c r="E19" s="42">
        <f>E20+E23</f>
        <v>9227.93</v>
      </c>
      <c r="F19" s="13">
        <f t="shared" si="0"/>
        <v>-295.66000000000167</v>
      </c>
      <c r="G19" s="42">
        <f>G20+G23+G28</f>
        <v>8932.2699999999986</v>
      </c>
      <c r="H19" s="17">
        <f>H20+H23+H28</f>
        <v>8932.2699999999986</v>
      </c>
    </row>
    <row r="20" spans="1:8" ht="25.5">
      <c r="A20" s="28" t="s">
        <v>226</v>
      </c>
      <c r="B20" s="15" t="s">
        <v>375</v>
      </c>
      <c r="C20" s="4"/>
      <c r="D20" s="42">
        <f>SUBTOTAL(9,D21:D22)</f>
        <v>8372.2999999999993</v>
      </c>
      <c r="E20" s="42">
        <f>SUBTOTAL(9,E21:E22)</f>
        <v>9227.93</v>
      </c>
      <c r="F20" s="13">
        <f t="shared" si="0"/>
        <v>-855.63000000000102</v>
      </c>
      <c r="G20" s="42">
        <f>SUBTOTAL(9,G21:G22)</f>
        <v>8372.2999999999993</v>
      </c>
      <c r="H20" s="17">
        <f>SUBTOTAL(9,H21:H22)</f>
        <v>8372.2999999999993</v>
      </c>
    </row>
    <row r="21" spans="1:8" ht="25.5">
      <c r="A21" s="28" t="s">
        <v>10</v>
      </c>
      <c r="B21" s="15" t="s">
        <v>375</v>
      </c>
      <c r="C21" s="15" t="s">
        <v>11</v>
      </c>
      <c r="D21" s="42">
        <f>7352-922</f>
        <v>6430</v>
      </c>
      <c r="E21" s="42">
        <v>7087.51</v>
      </c>
      <c r="F21" s="13">
        <f t="shared" si="0"/>
        <v>-657.51000000000022</v>
      </c>
      <c r="G21" s="42">
        <f>7352-922</f>
        <v>6430</v>
      </c>
      <c r="H21" s="17">
        <f>7352-922</f>
        <v>6430</v>
      </c>
    </row>
    <row r="22" spans="1:8" ht="51">
      <c r="A22" s="28" t="s">
        <v>12</v>
      </c>
      <c r="B22" s="15" t="s">
        <v>375</v>
      </c>
      <c r="C22" s="15" t="s">
        <v>13</v>
      </c>
      <c r="D22" s="42">
        <f>2220.3-278</f>
        <v>1942.3000000000002</v>
      </c>
      <c r="E22" s="42">
        <v>2140.42</v>
      </c>
      <c r="F22" s="13">
        <f t="shared" si="0"/>
        <v>-198.11999999999989</v>
      </c>
      <c r="G22" s="42">
        <f>2220.3-278</f>
        <v>1942.3000000000002</v>
      </c>
      <c r="H22" s="17">
        <f>2220.3-278</f>
        <v>1942.3000000000002</v>
      </c>
    </row>
    <row r="23" spans="1:8" ht="25.5">
      <c r="A23" s="28" t="s">
        <v>227</v>
      </c>
      <c r="B23" s="15" t="s">
        <v>376</v>
      </c>
      <c r="C23" s="4"/>
      <c r="D23" s="42">
        <f>SUBTOTAL(9,D24:D27)</f>
        <v>299.88</v>
      </c>
      <c r="E23" s="42">
        <f>SUBTOTAL(9,E24:E27)</f>
        <v>0</v>
      </c>
      <c r="F23" s="13">
        <f t="shared" si="0"/>
        <v>254.88</v>
      </c>
      <c r="G23" s="42">
        <f>SUBTOTAL(9,G24:G27)</f>
        <v>254.88</v>
      </c>
      <c r="H23" s="17">
        <f>SUBTOTAL(9,H24:H27)</f>
        <v>254.88</v>
      </c>
    </row>
    <row r="24" spans="1:8" ht="25.5">
      <c r="A24" s="32" t="s">
        <v>15</v>
      </c>
      <c r="B24" s="15" t="s">
        <v>376</v>
      </c>
      <c r="C24" s="15" t="s">
        <v>16</v>
      </c>
      <c r="D24" s="42">
        <v>45</v>
      </c>
      <c r="E24" s="42"/>
      <c r="F24" s="13">
        <f t="shared" si="0"/>
        <v>0</v>
      </c>
      <c r="G24" s="42"/>
      <c r="H24" s="17"/>
    </row>
    <row r="25" spans="1:8" ht="25.5">
      <c r="A25" s="28" t="s">
        <v>19</v>
      </c>
      <c r="B25" s="15" t="s">
        <v>376</v>
      </c>
      <c r="C25" s="4">
        <v>244</v>
      </c>
      <c r="D25" s="42">
        <f>45.48+24.64+34.43+9.7+128</f>
        <v>242.25</v>
      </c>
      <c r="E25" s="42"/>
      <c r="F25" s="13">
        <f t="shared" si="0"/>
        <v>242.25</v>
      </c>
      <c r="G25" s="42">
        <f>45.48+24.64+34.43+9.7+128</f>
        <v>242.25</v>
      </c>
      <c r="H25" s="17">
        <f>45.48+24.64+34.43+9.7+128</f>
        <v>242.25</v>
      </c>
    </row>
    <row r="26" spans="1:8" ht="25.5">
      <c r="A26" s="28" t="s">
        <v>30</v>
      </c>
      <c r="B26" s="15" t="s">
        <v>376</v>
      </c>
      <c r="C26" s="4" t="s">
        <v>31</v>
      </c>
      <c r="D26" s="42">
        <f>5+5.84</f>
        <v>10.84</v>
      </c>
      <c r="E26" s="42"/>
      <c r="F26" s="13">
        <f t="shared" si="0"/>
        <v>10.84</v>
      </c>
      <c r="G26" s="42">
        <f>5+5.84</f>
        <v>10.84</v>
      </c>
      <c r="H26" s="17">
        <f>5+5.84</f>
        <v>10.84</v>
      </c>
    </row>
    <row r="27" spans="1:8">
      <c r="A27" s="28" t="s">
        <v>32</v>
      </c>
      <c r="B27" s="15" t="s">
        <v>376</v>
      </c>
      <c r="C27" s="4" t="s">
        <v>33</v>
      </c>
      <c r="D27" s="42">
        <v>1.79</v>
      </c>
      <c r="E27" s="42"/>
      <c r="F27" s="13">
        <f t="shared" si="0"/>
        <v>1.79</v>
      </c>
      <c r="G27" s="42">
        <v>1.79</v>
      </c>
      <c r="H27" s="17">
        <v>1.79</v>
      </c>
    </row>
    <row r="28" spans="1:8" ht="25.5">
      <c r="A28" s="14" t="s">
        <v>396</v>
      </c>
      <c r="B28" s="15" t="s">
        <v>457</v>
      </c>
      <c r="C28" s="4"/>
      <c r="D28" s="42">
        <f>D29</f>
        <v>305.08999999999997</v>
      </c>
      <c r="E28" s="42"/>
      <c r="F28" s="13">
        <f t="shared" si="0"/>
        <v>305.08999999999997</v>
      </c>
      <c r="G28" s="42">
        <f>G29</f>
        <v>305.08999999999997</v>
      </c>
      <c r="H28" s="17">
        <f>H29</f>
        <v>305.08999999999997</v>
      </c>
    </row>
    <row r="29" spans="1:8" ht="25.5">
      <c r="A29" s="14" t="s">
        <v>19</v>
      </c>
      <c r="B29" s="15" t="s">
        <v>457</v>
      </c>
      <c r="C29" s="4" t="s">
        <v>20</v>
      </c>
      <c r="D29" s="42">
        <v>305.08999999999997</v>
      </c>
      <c r="E29" s="42"/>
      <c r="F29" s="13">
        <f t="shared" si="0"/>
        <v>305.08999999999997</v>
      </c>
      <c r="G29" s="42">
        <v>305.08999999999997</v>
      </c>
      <c r="H29" s="17">
        <v>305.08999999999997</v>
      </c>
    </row>
    <row r="30" spans="1:8" ht="25.5">
      <c r="A30" s="14" t="s">
        <v>458</v>
      </c>
      <c r="B30" s="15" t="s">
        <v>459</v>
      </c>
      <c r="C30" s="4"/>
      <c r="D30" s="42">
        <f>D31</f>
        <v>150</v>
      </c>
      <c r="E30" s="42"/>
      <c r="F30" s="13">
        <f t="shared" si="0"/>
        <v>150</v>
      </c>
      <c r="G30" s="42">
        <f>G31</f>
        <v>150</v>
      </c>
      <c r="H30" s="17">
        <f>H31</f>
        <v>150</v>
      </c>
    </row>
    <row r="31" spans="1:8" ht="25.5">
      <c r="A31" s="14" t="s">
        <v>19</v>
      </c>
      <c r="B31" s="15" t="s">
        <v>459</v>
      </c>
      <c r="C31" s="4" t="s">
        <v>20</v>
      </c>
      <c r="D31" s="42">
        <v>150</v>
      </c>
      <c r="E31" s="42"/>
      <c r="F31" s="13">
        <f t="shared" si="0"/>
        <v>150</v>
      </c>
      <c r="G31" s="42">
        <v>150</v>
      </c>
      <c r="H31" s="17">
        <v>150</v>
      </c>
    </row>
    <row r="32" spans="1:8" ht="89.25">
      <c r="A32" s="28" t="s">
        <v>228</v>
      </c>
      <c r="B32" s="15" t="s">
        <v>377</v>
      </c>
      <c r="C32" s="15"/>
      <c r="D32" s="42">
        <f>D33</f>
        <v>421.9</v>
      </c>
      <c r="E32" s="42">
        <f>E33</f>
        <v>421.9</v>
      </c>
      <c r="F32" s="13">
        <f t="shared" si="0"/>
        <v>0</v>
      </c>
      <c r="G32" s="42">
        <f>G33</f>
        <v>421.9</v>
      </c>
      <c r="H32" s="17">
        <f>H33</f>
        <v>421.9</v>
      </c>
    </row>
    <row r="33" spans="1:8" ht="25.5">
      <c r="A33" s="28" t="s">
        <v>19</v>
      </c>
      <c r="B33" s="15" t="s">
        <v>377</v>
      </c>
      <c r="C33" s="15" t="s">
        <v>20</v>
      </c>
      <c r="D33" s="42">
        <f>422.2-0.3</f>
        <v>421.9</v>
      </c>
      <c r="E33" s="42">
        <f>422.2-0.3</f>
        <v>421.9</v>
      </c>
      <c r="F33" s="13">
        <f t="shared" si="0"/>
        <v>0</v>
      </c>
      <c r="G33" s="42">
        <f>422.2-0.3</f>
        <v>421.9</v>
      </c>
      <c r="H33" s="17">
        <f>422.2-0.3</f>
        <v>421.9</v>
      </c>
    </row>
    <row r="34" spans="1:8" ht="38.25">
      <c r="A34" s="28" t="s">
        <v>138</v>
      </c>
      <c r="B34" s="15" t="s">
        <v>410</v>
      </c>
      <c r="C34" s="15"/>
      <c r="D34" s="42">
        <f>D35</f>
        <v>385.5</v>
      </c>
      <c r="E34" s="42">
        <f>E35</f>
        <v>410.7</v>
      </c>
      <c r="F34" s="13">
        <f t="shared" si="0"/>
        <v>-25.199999999999989</v>
      </c>
      <c r="G34" s="42">
        <f>G35</f>
        <v>385.5</v>
      </c>
      <c r="H34" s="17">
        <f>H35</f>
        <v>385.5</v>
      </c>
    </row>
    <row r="35" spans="1:8" ht="25.5">
      <c r="A35" s="28" t="s">
        <v>19</v>
      </c>
      <c r="B35" s="15" t="s">
        <v>410</v>
      </c>
      <c r="C35" s="15" t="s">
        <v>20</v>
      </c>
      <c r="D35" s="42">
        <v>385.5</v>
      </c>
      <c r="E35" s="42">
        <v>410.7</v>
      </c>
      <c r="F35" s="13">
        <f t="shared" si="0"/>
        <v>-25.199999999999989</v>
      </c>
      <c r="G35" s="42">
        <v>385.5</v>
      </c>
      <c r="H35" s="17">
        <v>385.5</v>
      </c>
    </row>
    <row r="36" spans="1:8" ht="25.5">
      <c r="A36" s="30" t="s">
        <v>342</v>
      </c>
      <c r="B36" s="7" t="s">
        <v>312</v>
      </c>
      <c r="C36" s="7"/>
      <c r="D36" s="42">
        <f t="shared" ref="D36:E38" si="1">D37</f>
        <v>5148</v>
      </c>
      <c r="E36" s="42">
        <f t="shared" si="1"/>
        <v>4328</v>
      </c>
      <c r="F36" s="13">
        <f t="shared" si="0"/>
        <v>820</v>
      </c>
      <c r="G36" s="42">
        <f t="shared" ref="G36:H38" si="2">G37</f>
        <v>5148</v>
      </c>
      <c r="H36" s="17">
        <f t="shared" si="2"/>
        <v>5148</v>
      </c>
    </row>
    <row r="37" spans="1:8" ht="25.5">
      <c r="A37" s="30" t="s">
        <v>245</v>
      </c>
      <c r="B37" s="15" t="s">
        <v>391</v>
      </c>
      <c r="C37" s="7"/>
      <c r="D37" s="42">
        <f t="shared" si="1"/>
        <v>5148</v>
      </c>
      <c r="E37" s="42">
        <f t="shared" si="1"/>
        <v>4328</v>
      </c>
      <c r="F37" s="13">
        <f t="shared" si="0"/>
        <v>820</v>
      </c>
      <c r="G37" s="42">
        <f t="shared" si="2"/>
        <v>5148</v>
      </c>
      <c r="H37" s="17">
        <f t="shared" si="2"/>
        <v>5148</v>
      </c>
    </row>
    <row r="38" spans="1:8" ht="38.25">
      <c r="A38" s="28" t="s">
        <v>246</v>
      </c>
      <c r="B38" s="15" t="s">
        <v>392</v>
      </c>
      <c r="C38" s="15"/>
      <c r="D38" s="42">
        <f t="shared" si="1"/>
        <v>5148</v>
      </c>
      <c r="E38" s="42">
        <f t="shared" si="1"/>
        <v>4328</v>
      </c>
      <c r="F38" s="13">
        <f t="shared" si="0"/>
        <v>820</v>
      </c>
      <c r="G38" s="42">
        <f t="shared" si="2"/>
        <v>5148</v>
      </c>
      <c r="H38" s="17">
        <f t="shared" si="2"/>
        <v>5148</v>
      </c>
    </row>
    <row r="39" spans="1:8" ht="76.5">
      <c r="A39" s="28" t="s">
        <v>247</v>
      </c>
      <c r="B39" s="15" t="s">
        <v>392</v>
      </c>
      <c r="C39" s="15" t="s">
        <v>248</v>
      </c>
      <c r="D39" s="42">
        <v>5148</v>
      </c>
      <c r="E39" s="42">
        <f>5128-800</f>
        <v>4328</v>
      </c>
      <c r="F39" s="13">
        <f t="shared" si="0"/>
        <v>820</v>
      </c>
      <c r="G39" s="42">
        <v>5148</v>
      </c>
      <c r="H39" s="17">
        <v>5148</v>
      </c>
    </row>
    <row r="40" spans="1:8" ht="25.5">
      <c r="A40" s="30" t="s">
        <v>310</v>
      </c>
      <c r="B40" s="7" t="s">
        <v>314</v>
      </c>
      <c r="C40" s="7"/>
      <c r="D40" s="42">
        <f>D41+D52</f>
        <v>22503.06</v>
      </c>
      <c r="E40" s="42">
        <f>E41+E52</f>
        <v>22171.13</v>
      </c>
      <c r="F40" s="13">
        <f t="shared" si="0"/>
        <v>81.930000000000291</v>
      </c>
      <c r="G40" s="42">
        <f>G41+G52</f>
        <v>22253.06</v>
      </c>
      <c r="H40" s="17">
        <f>H41+H52</f>
        <v>22253.06</v>
      </c>
    </row>
    <row r="41" spans="1:8" s="47" customFormat="1" ht="25.5">
      <c r="A41" s="30" t="s">
        <v>313</v>
      </c>
      <c r="B41" s="7" t="s">
        <v>315</v>
      </c>
      <c r="C41" s="7"/>
      <c r="D41" s="42">
        <f>D42</f>
        <v>18424.560000000001</v>
      </c>
      <c r="E41" s="42">
        <f>E42</f>
        <v>17043.63</v>
      </c>
      <c r="F41" s="13">
        <f t="shared" ref="F41:F71" si="3">G41-E41</f>
        <v>1130.9300000000003</v>
      </c>
      <c r="G41" s="42">
        <f>G42</f>
        <v>18174.560000000001</v>
      </c>
      <c r="H41" s="17">
        <f>H42</f>
        <v>18174.560000000001</v>
      </c>
    </row>
    <row r="42" spans="1:8" ht="25.5">
      <c r="A42" s="28" t="s">
        <v>196</v>
      </c>
      <c r="B42" s="15" t="s">
        <v>316</v>
      </c>
      <c r="C42" s="15"/>
      <c r="D42" s="42">
        <f>D43+D46</f>
        <v>18424.560000000001</v>
      </c>
      <c r="E42" s="42">
        <f>E43+E46</f>
        <v>17043.63</v>
      </c>
      <c r="F42" s="13">
        <f t="shared" si="3"/>
        <v>1130.9300000000003</v>
      </c>
      <c r="G42" s="42">
        <f>G43+G46</f>
        <v>18174.560000000001</v>
      </c>
      <c r="H42" s="17">
        <f>H43+H46</f>
        <v>18174.560000000001</v>
      </c>
    </row>
    <row r="43" spans="1:8" ht="25.5">
      <c r="A43" s="28" t="s">
        <v>197</v>
      </c>
      <c r="B43" s="15" t="s">
        <v>317</v>
      </c>
      <c r="C43" s="15"/>
      <c r="D43" s="42">
        <f>SUBTOTAL(9,D44:D45)</f>
        <v>17790</v>
      </c>
      <c r="E43" s="42">
        <f>SUBTOTAL(9,E44:E45)</f>
        <v>17043.63</v>
      </c>
      <c r="F43" s="13">
        <f t="shared" si="3"/>
        <v>746.36999999999898</v>
      </c>
      <c r="G43" s="42">
        <f>SUBTOTAL(9,G44:G45)</f>
        <v>17790</v>
      </c>
      <c r="H43" s="17">
        <f>SUBTOTAL(9,H44:H45)</f>
        <v>17790</v>
      </c>
    </row>
    <row r="44" spans="1:8" ht="38.25">
      <c r="A44" s="28" t="s">
        <v>104</v>
      </c>
      <c r="B44" s="15" t="s">
        <v>317</v>
      </c>
      <c r="C44" s="15" t="s">
        <v>42</v>
      </c>
      <c r="D44" s="42">
        <v>13663.6</v>
      </c>
      <c r="E44" s="42">
        <v>13090.35</v>
      </c>
      <c r="F44" s="13">
        <f t="shared" si="3"/>
        <v>573.25</v>
      </c>
      <c r="G44" s="42">
        <v>13663.6</v>
      </c>
      <c r="H44" s="17">
        <v>13663.6</v>
      </c>
    </row>
    <row r="45" spans="1:8" ht="51">
      <c r="A45" s="28" t="s">
        <v>304</v>
      </c>
      <c r="B45" s="15" t="s">
        <v>317</v>
      </c>
      <c r="C45" s="15" t="s">
        <v>44</v>
      </c>
      <c r="D45" s="42">
        <v>4126.3999999999996</v>
      </c>
      <c r="E45" s="42">
        <v>3953.28</v>
      </c>
      <c r="F45" s="13">
        <f t="shared" si="3"/>
        <v>173.11999999999944</v>
      </c>
      <c r="G45" s="42">
        <v>4126.3999999999996</v>
      </c>
      <c r="H45" s="17">
        <v>4126.3999999999996</v>
      </c>
    </row>
    <row r="46" spans="1:8" ht="25.5">
      <c r="A46" s="28" t="s">
        <v>198</v>
      </c>
      <c r="B46" s="15" t="s">
        <v>318</v>
      </c>
      <c r="C46" s="15"/>
      <c r="D46" s="42">
        <f>SUBTOTAL(9,D47:D48)</f>
        <v>634.55999999999995</v>
      </c>
      <c r="E46" s="42">
        <f>SUBTOTAL(9,E47:E48)</f>
        <v>0</v>
      </c>
      <c r="F46" s="13">
        <f t="shared" si="3"/>
        <v>384.56</v>
      </c>
      <c r="G46" s="42">
        <f>SUBTOTAL(9,G47:G48)</f>
        <v>384.56</v>
      </c>
      <c r="H46" s="17">
        <f>SUBTOTAL(9,H47:H48)</f>
        <v>384.56</v>
      </c>
    </row>
    <row r="47" spans="1:8" ht="38.25">
      <c r="A47" s="28" t="s">
        <v>105</v>
      </c>
      <c r="B47" s="15" t="s">
        <v>318</v>
      </c>
      <c r="C47" s="4" t="s">
        <v>47</v>
      </c>
      <c r="D47" s="42">
        <v>250</v>
      </c>
      <c r="E47" s="42"/>
      <c r="F47" s="13">
        <f t="shared" si="3"/>
        <v>0</v>
      </c>
      <c r="G47" s="42"/>
      <c r="H47" s="17"/>
    </row>
    <row r="48" spans="1:8" ht="25.5">
      <c r="A48" s="28" t="s">
        <v>19</v>
      </c>
      <c r="B48" s="15" t="s">
        <v>318</v>
      </c>
      <c r="C48" s="4">
        <v>244</v>
      </c>
      <c r="D48" s="42">
        <v>384.56</v>
      </c>
      <c r="E48" s="42"/>
      <c r="F48" s="13">
        <f t="shared" si="3"/>
        <v>384.56</v>
      </c>
      <c r="G48" s="42">
        <v>384.56</v>
      </c>
      <c r="H48" s="17">
        <v>384.56</v>
      </c>
    </row>
    <row r="49" spans="1:8" ht="25.5">
      <c r="A49" s="30" t="s">
        <v>326</v>
      </c>
      <c r="B49" s="7" t="s">
        <v>323</v>
      </c>
      <c r="C49" s="7"/>
      <c r="D49" s="42">
        <f>D50</f>
        <v>8264.23</v>
      </c>
      <c r="E49" s="42">
        <f>E50</f>
        <v>6676</v>
      </c>
      <c r="F49" s="13">
        <f t="shared" si="3"/>
        <v>1434.2299999999996</v>
      </c>
      <c r="G49" s="42">
        <f>G50</f>
        <v>8110.23</v>
      </c>
      <c r="H49" s="17">
        <f>H50</f>
        <v>8110.23</v>
      </c>
    </row>
    <row r="50" spans="1:8" ht="25.5">
      <c r="A50" s="28" t="s">
        <v>329</v>
      </c>
      <c r="B50" s="16" t="s">
        <v>330</v>
      </c>
      <c r="C50" s="15"/>
      <c r="D50" s="42">
        <f>D51+D54</f>
        <v>8264.23</v>
      </c>
      <c r="E50" s="42">
        <f>E51+E54</f>
        <v>6676</v>
      </c>
      <c r="F50" s="13">
        <f t="shared" si="3"/>
        <v>1434.2299999999996</v>
      </c>
      <c r="G50" s="42">
        <f>G51+G54</f>
        <v>8110.23</v>
      </c>
      <c r="H50" s="17">
        <f>H51+H54</f>
        <v>8110.23</v>
      </c>
    </row>
    <row r="51" spans="1:8" ht="25.5">
      <c r="A51" s="28" t="s">
        <v>327</v>
      </c>
      <c r="B51" s="16" t="s">
        <v>331</v>
      </c>
      <c r="C51" s="15"/>
      <c r="D51" s="42">
        <f>SUBTOTAL(9,D52:D53)</f>
        <v>5310.2</v>
      </c>
      <c r="E51" s="42">
        <f>SUBTOTAL(9,E52:E53)</f>
        <v>6676</v>
      </c>
      <c r="F51" s="13">
        <f t="shared" si="3"/>
        <v>-1365.8000000000002</v>
      </c>
      <c r="G51" s="42">
        <f>SUBTOTAL(9,G52:G53)</f>
        <v>5310.2</v>
      </c>
      <c r="H51" s="17">
        <f>SUBTOTAL(9,H52:H53)</f>
        <v>5310.2</v>
      </c>
    </row>
    <row r="52" spans="1:8" ht="38.25">
      <c r="A52" s="28" t="s">
        <v>104</v>
      </c>
      <c r="B52" s="16" t="s">
        <v>331</v>
      </c>
      <c r="C52" s="15" t="s">
        <v>42</v>
      </c>
      <c r="D52" s="42">
        <f>4513.2-434.7</f>
        <v>4078.5</v>
      </c>
      <c r="E52" s="42">
        <v>5127.5</v>
      </c>
      <c r="F52" s="13">
        <f t="shared" si="3"/>
        <v>-1049</v>
      </c>
      <c r="G52" s="42">
        <f>4513.2-434.7</f>
        <v>4078.5</v>
      </c>
      <c r="H52" s="17">
        <f>4513.2-434.7</f>
        <v>4078.5</v>
      </c>
    </row>
    <row r="53" spans="1:8" ht="51">
      <c r="A53" s="28" t="s">
        <v>276</v>
      </c>
      <c r="B53" s="16" t="s">
        <v>331</v>
      </c>
      <c r="C53" s="15" t="s">
        <v>44</v>
      </c>
      <c r="D53" s="42">
        <f>1363-131.3</f>
        <v>1231.7</v>
      </c>
      <c r="E53" s="42">
        <v>1548.5</v>
      </c>
      <c r="F53" s="13">
        <f t="shared" si="3"/>
        <v>-316.79999999999995</v>
      </c>
      <c r="G53" s="42">
        <f>1363-131.3</f>
        <v>1231.7</v>
      </c>
      <c r="H53" s="17">
        <f>1363-131.3</f>
        <v>1231.7</v>
      </c>
    </row>
    <row r="54" spans="1:8" ht="25.5">
      <c r="A54" s="28" t="s">
        <v>328</v>
      </c>
      <c r="B54" s="16" t="s">
        <v>332</v>
      </c>
      <c r="C54" s="4"/>
      <c r="D54" s="42">
        <f>SUBTOTAL(9,D55:D59)</f>
        <v>2954.0299999999997</v>
      </c>
      <c r="E54" s="42">
        <f>SUBTOTAL(9,E55:E59)</f>
        <v>0</v>
      </c>
      <c r="F54" s="13">
        <f t="shared" si="3"/>
        <v>2800.0299999999997</v>
      </c>
      <c r="G54" s="42">
        <f>SUBTOTAL(9,G55:G59)</f>
        <v>2800.0299999999997</v>
      </c>
      <c r="H54" s="17">
        <f>SUBTOTAL(9,H55:H59)</f>
        <v>2800.0299999999997</v>
      </c>
    </row>
    <row r="55" spans="1:8" ht="38.25">
      <c r="A55" s="28" t="s">
        <v>46</v>
      </c>
      <c r="B55" s="16" t="s">
        <v>332</v>
      </c>
      <c r="C55" s="15" t="s">
        <v>47</v>
      </c>
      <c r="D55" s="42">
        <v>154</v>
      </c>
      <c r="E55" s="42"/>
      <c r="F55" s="13">
        <f t="shared" si="3"/>
        <v>0</v>
      </c>
      <c r="G55" s="42"/>
      <c r="H55" s="17"/>
    </row>
    <row r="56" spans="1:8" ht="25.5">
      <c r="A56" s="28" t="s">
        <v>19</v>
      </c>
      <c r="B56" s="16" t="s">
        <v>332</v>
      </c>
      <c r="C56" s="4">
        <v>244</v>
      </c>
      <c r="D56" s="44">
        <f>95+1085.2+200+1115</f>
        <v>2495.1999999999998</v>
      </c>
      <c r="E56" s="44"/>
      <c r="F56" s="13">
        <f t="shared" si="3"/>
        <v>2495.1999999999998</v>
      </c>
      <c r="G56" s="44">
        <f>95+1085.2+200+1115</f>
        <v>2495.1999999999998</v>
      </c>
      <c r="H56" s="69">
        <f>95+1085.2+200+1115</f>
        <v>2495.1999999999998</v>
      </c>
    </row>
    <row r="57" spans="1:8" ht="25.5">
      <c r="A57" s="28" t="s">
        <v>30</v>
      </c>
      <c r="B57" s="16" t="s">
        <v>332</v>
      </c>
      <c r="C57" s="4" t="s">
        <v>31</v>
      </c>
      <c r="D57" s="42">
        <f>16.3+35.1</f>
        <v>51.400000000000006</v>
      </c>
      <c r="E57" s="42"/>
      <c r="F57" s="13">
        <f t="shared" si="3"/>
        <v>51.400000000000006</v>
      </c>
      <c r="G57" s="42">
        <f>16.3+35.1</f>
        <v>51.400000000000006</v>
      </c>
      <c r="H57" s="17">
        <f>16.3+35.1</f>
        <v>51.400000000000006</v>
      </c>
    </row>
    <row r="58" spans="1:8" s="47" customFormat="1">
      <c r="A58" s="28" t="s">
        <v>32</v>
      </c>
      <c r="B58" s="16" t="s">
        <v>332</v>
      </c>
      <c r="C58" s="4" t="s">
        <v>33</v>
      </c>
      <c r="D58" s="42">
        <v>53.43</v>
      </c>
      <c r="E58" s="42"/>
      <c r="F58" s="13">
        <f t="shared" si="3"/>
        <v>53.43</v>
      </c>
      <c r="G58" s="42">
        <v>53.43</v>
      </c>
      <c r="H58" s="17">
        <v>53.43</v>
      </c>
    </row>
    <row r="59" spans="1:8" s="47" customFormat="1">
      <c r="A59" s="28" t="s">
        <v>21</v>
      </c>
      <c r="B59" s="16" t="s">
        <v>332</v>
      </c>
      <c r="C59" s="4" t="s">
        <v>22</v>
      </c>
      <c r="D59" s="42">
        <v>200</v>
      </c>
      <c r="E59" s="42"/>
      <c r="F59" s="13">
        <f t="shared" si="3"/>
        <v>200</v>
      </c>
      <c r="G59" s="42">
        <v>200</v>
      </c>
      <c r="H59" s="17">
        <v>200</v>
      </c>
    </row>
    <row r="60" spans="1:8" s="47" customFormat="1">
      <c r="A60" s="30" t="s">
        <v>333</v>
      </c>
      <c r="B60" s="16" t="s">
        <v>334</v>
      </c>
      <c r="C60" s="4"/>
      <c r="D60" s="42">
        <f>D61</f>
        <v>7770.18</v>
      </c>
      <c r="E60" s="42">
        <f>E61</f>
        <v>8189.19</v>
      </c>
      <c r="F60" s="13">
        <f t="shared" si="3"/>
        <v>-431.00999999999931</v>
      </c>
      <c r="G60" s="42">
        <f>G61</f>
        <v>7758.18</v>
      </c>
      <c r="H60" s="17">
        <f>H61</f>
        <v>7758.18</v>
      </c>
    </row>
    <row r="61" spans="1:8" ht="25.5">
      <c r="A61" s="28" t="s">
        <v>210</v>
      </c>
      <c r="B61" s="16" t="s">
        <v>335</v>
      </c>
      <c r="C61" s="15"/>
      <c r="D61" s="42">
        <f>D62+D65</f>
        <v>7770.18</v>
      </c>
      <c r="E61" s="42">
        <f>E62+E65</f>
        <v>8189.19</v>
      </c>
      <c r="F61" s="13">
        <f t="shared" si="3"/>
        <v>-431.00999999999931</v>
      </c>
      <c r="G61" s="42">
        <f>G62+G65</f>
        <v>7758.18</v>
      </c>
      <c r="H61" s="17">
        <f>H62+H65</f>
        <v>7758.18</v>
      </c>
    </row>
    <row r="62" spans="1:8" ht="25.5">
      <c r="A62" s="28" t="s">
        <v>211</v>
      </c>
      <c r="B62" s="16" t="s">
        <v>336</v>
      </c>
      <c r="C62" s="15"/>
      <c r="D62" s="42">
        <f>SUBTOTAL(9,D63:D64)</f>
        <v>7486.7000000000007</v>
      </c>
      <c r="E62" s="42">
        <f>SUBTOTAL(9,E63:E64)</f>
        <v>8189.19</v>
      </c>
      <c r="F62" s="13">
        <f t="shared" si="3"/>
        <v>-702.48999999999887</v>
      </c>
      <c r="G62" s="42">
        <f>SUBTOTAL(9,G63:G64)</f>
        <v>7486.7000000000007</v>
      </c>
      <c r="H62" s="17">
        <f>SUBTOTAL(9,H63:H64)</f>
        <v>7486.7000000000007</v>
      </c>
    </row>
    <row r="63" spans="1:8" ht="25.5">
      <c r="A63" s="28" t="s">
        <v>10</v>
      </c>
      <c r="B63" s="16" t="s">
        <v>336</v>
      </c>
      <c r="C63" s="15" t="s">
        <v>11</v>
      </c>
      <c r="D63" s="42">
        <f>6358.3-563</f>
        <v>5795.3</v>
      </c>
      <c r="E63" s="42">
        <v>6289.7</v>
      </c>
      <c r="F63" s="13">
        <f t="shared" si="3"/>
        <v>-494.39999999999964</v>
      </c>
      <c r="G63" s="42">
        <f>6358.3-563</f>
        <v>5795.3</v>
      </c>
      <c r="H63" s="17">
        <f>6358.3-563</f>
        <v>5795.3</v>
      </c>
    </row>
    <row r="64" spans="1:8" ht="51">
      <c r="A64" s="28" t="s">
        <v>12</v>
      </c>
      <c r="B64" s="16" t="s">
        <v>336</v>
      </c>
      <c r="C64" s="15" t="s">
        <v>13</v>
      </c>
      <c r="D64" s="42">
        <f>1861.4-170</f>
        <v>1691.4</v>
      </c>
      <c r="E64" s="42">
        <v>1899.49</v>
      </c>
      <c r="F64" s="13">
        <f t="shared" si="3"/>
        <v>-208.08999999999992</v>
      </c>
      <c r="G64" s="42">
        <f>1861.4-170</f>
        <v>1691.4</v>
      </c>
      <c r="H64" s="17">
        <f>1861.4-170</f>
        <v>1691.4</v>
      </c>
    </row>
    <row r="65" spans="1:8" ht="25.5">
      <c r="A65" s="28" t="s">
        <v>212</v>
      </c>
      <c r="B65" s="16" t="s">
        <v>337</v>
      </c>
      <c r="C65" s="4"/>
      <c r="D65" s="42">
        <f>SUBTOTAL(9,D66:D68)</f>
        <v>283.48</v>
      </c>
      <c r="E65" s="42">
        <f>SUBTOTAL(9,E66:E68)</f>
        <v>0</v>
      </c>
      <c r="F65" s="13">
        <f t="shared" si="3"/>
        <v>271.48</v>
      </c>
      <c r="G65" s="42">
        <f>SUBTOTAL(9,G66:G68)</f>
        <v>271.48</v>
      </c>
      <c r="H65" s="17">
        <f>SUBTOTAL(9,H66:H68)</f>
        <v>271.48</v>
      </c>
    </row>
    <row r="66" spans="1:8" ht="25.5">
      <c r="A66" s="32" t="s">
        <v>15</v>
      </c>
      <c r="B66" s="16" t="s">
        <v>337</v>
      </c>
      <c r="C66" s="15" t="s">
        <v>16</v>
      </c>
      <c r="D66" s="42">
        <v>12</v>
      </c>
      <c r="E66" s="42"/>
      <c r="F66" s="13">
        <f t="shared" si="3"/>
        <v>0</v>
      </c>
      <c r="G66" s="42"/>
      <c r="H66" s="17"/>
    </row>
    <row r="67" spans="1:8" ht="25.5">
      <c r="A67" s="28" t="s">
        <v>19</v>
      </c>
      <c r="B67" s="16" t="s">
        <v>337</v>
      </c>
      <c r="C67" s="4">
        <v>244</v>
      </c>
      <c r="D67" s="42">
        <f>45.48+136+90</f>
        <v>271.48</v>
      </c>
      <c r="E67" s="42"/>
      <c r="F67" s="13">
        <f t="shared" si="3"/>
        <v>271.48</v>
      </c>
      <c r="G67" s="42">
        <f>45.48+136+90</f>
        <v>271.48</v>
      </c>
      <c r="H67" s="17">
        <f>45.48+136+90</f>
        <v>271.48</v>
      </c>
    </row>
    <row r="68" spans="1:8">
      <c r="A68" s="28" t="s">
        <v>21</v>
      </c>
      <c r="B68" s="16" t="s">
        <v>337</v>
      </c>
      <c r="C68" s="4" t="s">
        <v>22</v>
      </c>
      <c r="D68" s="42"/>
      <c r="E68" s="42"/>
      <c r="F68" s="13">
        <f t="shared" si="3"/>
        <v>0</v>
      </c>
      <c r="G68" s="42"/>
      <c r="H68" s="17"/>
    </row>
    <row r="69" spans="1:8" ht="25.5">
      <c r="A69" s="28" t="s">
        <v>252</v>
      </c>
      <c r="B69" s="15" t="s">
        <v>257</v>
      </c>
      <c r="C69" s="7"/>
      <c r="D69" s="41" t="e">
        <f>#REF!</f>
        <v>#REF!</v>
      </c>
      <c r="E69" s="41" t="e">
        <f>#REF!</f>
        <v>#REF!</v>
      </c>
      <c r="F69" s="13">
        <v>87324.7</v>
      </c>
      <c r="G69" s="41">
        <v>790933.76</v>
      </c>
      <c r="H69" s="13">
        <v>638735.23</v>
      </c>
    </row>
    <row r="70" spans="1:8" ht="38.25">
      <c r="A70" s="14" t="s">
        <v>297</v>
      </c>
      <c r="B70" s="16" t="s">
        <v>298</v>
      </c>
      <c r="C70" s="4"/>
      <c r="D70" s="42">
        <f>D71</f>
        <v>3384.22</v>
      </c>
      <c r="E70" s="42"/>
      <c r="F70" s="13">
        <f t="shared" si="3"/>
        <v>3384.22</v>
      </c>
      <c r="G70" s="42">
        <f>G71</f>
        <v>3384.22</v>
      </c>
      <c r="H70" s="17">
        <f>H71</f>
        <v>3384.22</v>
      </c>
    </row>
    <row r="71" spans="1:8" ht="25.5">
      <c r="A71" s="14" t="s">
        <v>19</v>
      </c>
      <c r="B71" s="16" t="s">
        <v>298</v>
      </c>
      <c r="C71" s="4" t="s">
        <v>20</v>
      </c>
      <c r="D71" s="42">
        <v>3384.22</v>
      </c>
      <c r="E71" s="42"/>
      <c r="F71" s="13">
        <f t="shared" si="3"/>
        <v>3384.22</v>
      </c>
      <c r="G71" s="42">
        <v>3384.22</v>
      </c>
      <c r="H71" s="17">
        <v>3384.22</v>
      </c>
    </row>
    <row r="72" spans="1:8" ht="25.5">
      <c r="A72" s="28" t="s">
        <v>256</v>
      </c>
      <c r="B72" s="15" t="s">
        <v>258</v>
      </c>
      <c r="C72" s="7"/>
      <c r="D72" s="41" t="e">
        <f>#REF!</f>
        <v>#REF!</v>
      </c>
      <c r="E72" s="41" t="e">
        <f>#REF!</f>
        <v>#REF!</v>
      </c>
      <c r="F72" s="13">
        <v>142814.25000000003</v>
      </c>
      <c r="G72" s="41">
        <v>190278.37000000002</v>
      </c>
      <c r="H72" s="13">
        <v>190278.37000000002</v>
      </c>
    </row>
    <row r="73" spans="1:8" ht="25.5">
      <c r="A73" s="28" t="s">
        <v>48</v>
      </c>
      <c r="B73" s="15" t="s">
        <v>49</v>
      </c>
      <c r="C73" s="15"/>
      <c r="D73" s="42">
        <f>D74+D84+D89+D92</f>
        <v>159652.01</v>
      </c>
      <c r="E73" s="42">
        <f>E74</f>
        <v>22993.75</v>
      </c>
      <c r="F73" s="13">
        <f t="shared" ref="F73:F104" si="4">G73-E73</f>
        <v>136442.26</v>
      </c>
      <c r="G73" s="42">
        <f>G74+G84+G89+G92</f>
        <v>159436.01</v>
      </c>
      <c r="H73" s="17">
        <f>H74+H84+H89+H92</f>
        <v>159436.01</v>
      </c>
    </row>
    <row r="74" spans="1:8" ht="25.5">
      <c r="A74" s="28" t="s">
        <v>50</v>
      </c>
      <c r="B74" s="15" t="s">
        <v>51</v>
      </c>
      <c r="C74" s="15"/>
      <c r="D74" s="42">
        <f>D75+D78+D82</f>
        <v>40896.199999999997</v>
      </c>
      <c r="E74" s="42">
        <f>E75+E78</f>
        <v>22993.75</v>
      </c>
      <c r="F74" s="13">
        <f t="shared" si="4"/>
        <v>17686.449999999997</v>
      </c>
      <c r="G74" s="42">
        <f>G75+G78+G82</f>
        <v>40680.199999999997</v>
      </c>
      <c r="H74" s="17">
        <f>H75+H78+H82</f>
        <v>40680.199999999997</v>
      </c>
    </row>
    <row r="75" spans="1:8" ht="25.5">
      <c r="A75" s="28" t="s">
        <v>52</v>
      </c>
      <c r="B75" s="15" t="s">
        <v>53</v>
      </c>
      <c r="C75" s="15"/>
      <c r="D75" s="42">
        <f>SUM(D76:D77)</f>
        <v>8383.6</v>
      </c>
      <c r="E75" s="42">
        <f>SUM(E76:E77)</f>
        <v>22993.75</v>
      </c>
      <c r="F75" s="13">
        <f t="shared" si="4"/>
        <v>-14610.15</v>
      </c>
      <c r="G75" s="42">
        <f>SUM(G76:G77)</f>
        <v>8383.6</v>
      </c>
      <c r="H75" s="17">
        <f>SUM(H76:H77)</f>
        <v>8383.6</v>
      </c>
    </row>
    <row r="76" spans="1:8" ht="25.5">
      <c r="A76" s="28" t="s">
        <v>10</v>
      </c>
      <c r="B76" s="15" t="s">
        <v>53</v>
      </c>
      <c r="C76" s="15" t="s">
        <v>11</v>
      </c>
      <c r="D76" s="42">
        <f>15051.2-8433</f>
        <v>6618.2000000000007</v>
      </c>
      <c r="E76" s="42">
        <f>36197.64-18537.3</f>
        <v>17660.34</v>
      </c>
      <c r="F76" s="13">
        <f t="shared" si="4"/>
        <v>-11042.14</v>
      </c>
      <c r="G76" s="42">
        <f>15051.2-8433</f>
        <v>6618.2000000000007</v>
      </c>
      <c r="H76" s="17">
        <f>15051.2-8433</f>
        <v>6618.2000000000007</v>
      </c>
    </row>
    <row r="77" spans="1:8" ht="51">
      <c r="A77" s="28" t="s">
        <v>12</v>
      </c>
      <c r="B77" s="15" t="s">
        <v>53</v>
      </c>
      <c r="C77" s="15" t="s">
        <v>13</v>
      </c>
      <c r="D77" s="42">
        <f>4312.2-2546.8</f>
        <v>1765.3999999999996</v>
      </c>
      <c r="E77" s="42">
        <f>10931.64-5598.23</f>
        <v>5333.41</v>
      </c>
      <c r="F77" s="13">
        <f t="shared" si="4"/>
        <v>-3568.01</v>
      </c>
      <c r="G77" s="42">
        <f>4312.2-2546.8</f>
        <v>1765.3999999999996</v>
      </c>
      <c r="H77" s="17">
        <f>4312.2-2546.8</f>
        <v>1765.3999999999996</v>
      </c>
    </row>
    <row r="78" spans="1:8" ht="25.5">
      <c r="A78" s="28" t="s">
        <v>54</v>
      </c>
      <c r="B78" s="15" t="s">
        <v>55</v>
      </c>
      <c r="C78" s="15"/>
      <c r="D78" s="42">
        <f>SUBTOTAL(9,D79:D81)</f>
        <v>6964.199999999998</v>
      </c>
      <c r="E78" s="42">
        <f>SUBTOTAL(9,E79:E81)</f>
        <v>0</v>
      </c>
      <c r="F78" s="13">
        <f t="shared" si="4"/>
        <v>6748.199999999998</v>
      </c>
      <c r="G78" s="42">
        <f>SUBTOTAL(9,G79:G81)</f>
        <v>6748.199999999998</v>
      </c>
      <c r="H78" s="17">
        <f>SUBTOTAL(9,H79:H81)</f>
        <v>6748.199999999998</v>
      </c>
    </row>
    <row r="79" spans="1:8" ht="25.5">
      <c r="A79" s="32" t="s">
        <v>15</v>
      </c>
      <c r="B79" s="15" t="s">
        <v>55</v>
      </c>
      <c r="C79" s="15" t="s">
        <v>16</v>
      </c>
      <c r="D79" s="42">
        <v>216</v>
      </c>
      <c r="E79" s="42"/>
      <c r="F79" s="13">
        <f t="shared" si="4"/>
        <v>0</v>
      </c>
      <c r="G79" s="42"/>
      <c r="H79" s="17"/>
    </row>
    <row r="80" spans="1:8" ht="25.5">
      <c r="A80" s="28" t="s">
        <v>19</v>
      </c>
      <c r="B80" s="15" t="s">
        <v>55</v>
      </c>
      <c r="C80" s="15" t="s">
        <v>20</v>
      </c>
      <c r="D80" s="42">
        <f>43.7+4182.4+367.6+39460.1+162+661.8-13267.3-25548.4</f>
        <v>6061.8999999999978</v>
      </c>
      <c r="E80" s="42"/>
      <c r="F80" s="13">
        <f t="shared" si="4"/>
        <v>6061.8999999999978</v>
      </c>
      <c r="G80" s="42">
        <f>43.7+4182.4+367.6+39460.1+162+661.8-13267.3-25548.4</f>
        <v>6061.8999999999978</v>
      </c>
      <c r="H80" s="17">
        <f>43.7+4182.4+367.6+39460.1+162+661.8-13267.3-25548.4</f>
        <v>6061.8999999999978</v>
      </c>
    </row>
    <row r="81" spans="1:8" ht="25.5">
      <c r="A81" s="28" t="s">
        <v>30</v>
      </c>
      <c r="B81" s="15" t="s">
        <v>55</v>
      </c>
      <c r="C81" s="15" t="s">
        <v>31</v>
      </c>
      <c r="D81" s="42">
        <v>686.3</v>
      </c>
      <c r="E81" s="42"/>
      <c r="F81" s="13">
        <f t="shared" si="4"/>
        <v>686.3</v>
      </c>
      <c r="G81" s="42">
        <v>686.3</v>
      </c>
      <c r="H81" s="17">
        <v>686.3</v>
      </c>
    </row>
    <row r="82" spans="1:8" ht="38.25">
      <c r="A82" s="28" t="s">
        <v>266</v>
      </c>
      <c r="B82" s="15" t="s">
        <v>267</v>
      </c>
      <c r="C82" s="15"/>
      <c r="D82" s="48">
        <f>D83</f>
        <v>25548.400000000001</v>
      </c>
      <c r="F82" s="13">
        <f t="shared" si="4"/>
        <v>25548.400000000001</v>
      </c>
      <c r="G82" s="48">
        <f>G83</f>
        <v>25548.400000000001</v>
      </c>
      <c r="H82" s="68">
        <f>H83</f>
        <v>25548.400000000001</v>
      </c>
    </row>
    <row r="83" spans="1:8" ht="25.5">
      <c r="A83" s="28" t="s">
        <v>19</v>
      </c>
      <c r="B83" s="15" t="s">
        <v>267</v>
      </c>
      <c r="C83" s="15" t="s">
        <v>20</v>
      </c>
      <c r="D83" s="42">
        <v>25548.400000000001</v>
      </c>
      <c r="F83" s="13">
        <f t="shared" si="4"/>
        <v>25548.400000000001</v>
      </c>
      <c r="G83" s="42">
        <v>25548.400000000001</v>
      </c>
      <c r="H83" s="17">
        <v>25548.400000000001</v>
      </c>
    </row>
    <row r="84" spans="1:8" ht="114.75">
      <c r="A84" s="28" t="s">
        <v>56</v>
      </c>
      <c r="B84" s="15" t="s">
        <v>57</v>
      </c>
      <c r="C84" s="15"/>
      <c r="D84" s="42">
        <f>SUM(D85:D88)</f>
        <v>91953.609999999986</v>
      </c>
      <c r="E84" s="42">
        <f>SUM(E85:E88)</f>
        <v>82109.640000000014</v>
      </c>
      <c r="F84" s="13">
        <f t="shared" si="4"/>
        <v>9843.9699999999721</v>
      </c>
      <c r="G84" s="42">
        <f>SUM(G85:G88)</f>
        <v>91953.609999999986</v>
      </c>
      <c r="H84" s="17">
        <f>SUM(H85:H88)</f>
        <v>91953.609999999986</v>
      </c>
    </row>
    <row r="85" spans="1:8" ht="25.5">
      <c r="A85" s="28" t="s">
        <v>10</v>
      </c>
      <c r="B85" s="15" t="s">
        <v>57</v>
      </c>
      <c r="C85" s="15" t="s">
        <v>11</v>
      </c>
      <c r="D85" s="42">
        <v>70161.84</v>
      </c>
      <c r="E85" s="42">
        <v>62664.17</v>
      </c>
      <c r="F85" s="13">
        <f t="shared" si="4"/>
        <v>7497.6699999999983</v>
      </c>
      <c r="G85" s="42">
        <v>70161.84</v>
      </c>
      <c r="H85" s="17">
        <v>70161.84</v>
      </c>
    </row>
    <row r="86" spans="1:8" ht="25.5">
      <c r="A86" s="32" t="s">
        <v>15</v>
      </c>
      <c r="B86" s="15" t="s">
        <v>57</v>
      </c>
      <c r="C86" s="15" t="s">
        <v>16</v>
      </c>
      <c r="D86" s="42">
        <v>56</v>
      </c>
      <c r="E86" s="42">
        <v>52.3</v>
      </c>
      <c r="F86" s="13">
        <f t="shared" si="4"/>
        <v>3.7000000000000028</v>
      </c>
      <c r="G86" s="42">
        <v>56</v>
      </c>
      <c r="H86" s="17">
        <v>56</v>
      </c>
    </row>
    <row r="87" spans="1:8" ht="51">
      <c r="A87" s="28" t="s">
        <v>12</v>
      </c>
      <c r="B87" s="15" t="s">
        <v>57</v>
      </c>
      <c r="C87" s="15" t="s">
        <v>13</v>
      </c>
      <c r="D87" s="42">
        <v>21188.87</v>
      </c>
      <c r="E87" s="42">
        <v>18924.57</v>
      </c>
      <c r="F87" s="13">
        <f t="shared" si="4"/>
        <v>2264.2999999999993</v>
      </c>
      <c r="G87" s="42">
        <v>21188.87</v>
      </c>
      <c r="H87" s="17">
        <v>21188.87</v>
      </c>
    </row>
    <row r="88" spans="1:8" ht="25.5">
      <c r="A88" s="28" t="s">
        <v>19</v>
      </c>
      <c r="B88" s="15" t="s">
        <v>57</v>
      </c>
      <c r="C88" s="15" t="s">
        <v>20</v>
      </c>
      <c r="D88" s="42">
        <v>546.9</v>
      </c>
      <c r="E88" s="42">
        <v>468.6</v>
      </c>
      <c r="F88" s="13">
        <f t="shared" si="4"/>
        <v>78.299999999999955</v>
      </c>
      <c r="G88" s="42">
        <v>546.9</v>
      </c>
      <c r="H88" s="17">
        <v>546.9</v>
      </c>
    </row>
    <row r="89" spans="1:8" ht="114.75">
      <c r="A89" s="28" t="s">
        <v>59</v>
      </c>
      <c r="B89" s="15" t="s">
        <v>60</v>
      </c>
      <c r="C89" s="15"/>
      <c r="D89" s="42">
        <f>D90</f>
        <v>26610.2</v>
      </c>
      <c r="E89" s="42">
        <f>E90</f>
        <v>23658</v>
      </c>
      <c r="F89" s="13">
        <f t="shared" si="4"/>
        <v>2952.2000000000007</v>
      </c>
      <c r="G89" s="42">
        <f>G90</f>
        <v>26610.2</v>
      </c>
      <c r="H89" s="17">
        <f>H90</f>
        <v>26610.2</v>
      </c>
    </row>
    <row r="90" spans="1:8" ht="38.25">
      <c r="A90" s="28" t="s">
        <v>409</v>
      </c>
      <c r="B90" s="15" t="s">
        <v>60</v>
      </c>
      <c r="C90" s="4" t="s">
        <v>408</v>
      </c>
      <c r="D90" s="42">
        <v>26610.2</v>
      </c>
      <c r="E90" s="42">
        <v>23658</v>
      </c>
      <c r="F90" s="13">
        <f t="shared" si="4"/>
        <v>2952.2000000000007</v>
      </c>
      <c r="G90" s="42">
        <v>26610.2</v>
      </c>
      <c r="H90" s="17">
        <v>26610.2</v>
      </c>
    </row>
    <row r="91" spans="1:8" ht="38.25">
      <c r="A91" s="28" t="s">
        <v>23</v>
      </c>
      <c r="B91" s="15" t="s">
        <v>58</v>
      </c>
      <c r="C91" s="15"/>
      <c r="D91" s="42">
        <f>D92+D93</f>
        <v>250</v>
      </c>
      <c r="E91" s="42">
        <f>E92+E93</f>
        <v>363.77</v>
      </c>
      <c r="F91" s="13">
        <f t="shared" si="4"/>
        <v>-113.76999999999998</v>
      </c>
      <c r="G91" s="42">
        <f>G92+G93</f>
        <v>250</v>
      </c>
      <c r="H91" s="17">
        <f>H92+H93</f>
        <v>250</v>
      </c>
    </row>
    <row r="92" spans="1:8" ht="25.5">
      <c r="A92" s="28" t="s">
        <v>10</v>
      </c>
      <c r="B92" s="15" t="s">
        <v>58</v>
      </c>
      <c r="C92" s="15" t="s">
        <v>11</v>
      </c>
      <c r="D92" s="42">
        <v>192</v>
      </c>
      <c r="E92" s="42">
        <v>279.39999999999998</v>
      </c>
      <c r="F92" s="13">
        <f t="shared" si="4"/>
        <v>-87.399999999999977</v>
      </c>
      <c r="G92" s="42">
        <v>192</v>
      </c>
      <c r="H92" s="17">
        <v>192</v>
      </c>
    </row>
    <row r="93" spans="1:8" ht="38.25">
      <c r="A93" s="28" t="s">
        <v>25</v>
      </c>
      <c r="B93" s="15" t="s">
        <v>58</v>
      </c>
      <c r="C93" s="15" t="s">
        <v>13</v>
      </c>
      <c r="D93" s="42">
        <v>58</v>
      </c>
      <c r="E93" s="42">
        <v>84.37</v>
      </c>
      <c r="F93" s="13">
        <f t="shared" si="4"/>
        <v>-26.370000000000005</v>
      </c>
      <c r="G93" s="42">
        <v>58</v>
      </c>
      <c r="H93" s="17">
        <v>58</v>
      </c>
    </row>
    <row r="94" spans="1:8" ht="25.5">
      <c r="A94" s="28" t="s">
        <v>67</v>
      </c>
      <c r="B94" s="15" t="s">
        <v>68</v>
      </c>
      <c r="C94" s="15"/>
      <c r="D94" s="42">
        <f>D95+D110+D115</f>
        <v>485326.52999999997</v>
      </c>
      <c r="E94" s="42">
        <f>E95+E110+E115</f>
        <v>431646.31999999995</v>
      </c>
      <c r="F94" s="13">
        <f t="shared" si="4"/>
        <v>-18490.039999999921</v>
      </c>
      <c r="G94" s="42">
        <f>G95+G110+G115</f>
        <v>413156.28</v>
      </c>
      <c r="H94" s="17">
        <f>H95+H110+H115</f>
        <v>280753.23</v>
      </c>
    </row>
    <row r="95" spans="1:8" ht="38.25">
      <c r="A95" s="28" t="s">
        <v>69</v>
      </c>
      <c r="B95" s="15" t="s">
        <v>70</v>
      </c>
      <c r="C95" s="15"/>
      <c r="D95" s="42">
        <f>D96+D99+D108+D106</f>
        <v>142071.99</v>
      </c>
      <c r="E95" s="42">
        <f>E96+E99</f>
        <v>104287.51999999999</v>
      </c>
      <c r="F95" s="13">
        <f t="shared" si="4"/>
        <v>-38802.37999999999</v>
      </c>
      <c r="G95" s="42">
        <f>G96+G99+G108+G106</f>
        <v>65485.14</v>
      </c>
      <c r="H95" s="17">
        <f>H96+H99+H108+H106</f>
        <v>60193.19</v>
      </c>
    </row>
    <row r="96" spans="1:8" ht="25.5">
      <c r="A96" s="28" t="s">
        <v>71</v>
      </c>
      <c r="B96" s="15" t="s">
        <v>72</v>
      </c>
      <c r="C96" s="15"/>
      <c r="D96" s="42">
        <f>SUBTOTAL(9,D97:D98)</f>
        <v>11281.47</v>
      </c>
      <c r="E96" s="42">
        <f>SUBTOTAL(9,E97:E98)</f>
        <v>86088.01999999999</v>
      </c>
      <c r="F96" s="13">
        <f t="shared" si="4"/>
        <v>-74806.549999999988</v>
      </c>
      <c r="G96" s="42">
        <f>SUBTOTAL(9,G97:G98)</f>
        <v>11281.47</v>
      </c>
      <c r="H96" s="17">
        <f>SUBTOTAL(9,H97:H98)</f>
        <v>11281.47</v>
      </c>
    </row>
    <row r="97" spans="1:8" ht="25.5">
      <c r="A97" s="28" t="s">
        <v>10</v>
      </c>
      <c r="B97" s="15" t="s">
        <v>72</v>
      </c>
      <c r="C97" s="15" t="s">
        <v>11</v>
      </c>
      <c r="D97" s="42">
        <f>54130.71-45258</f>
        <v>8872.7099999999991</v>
      </c>
      <c r="E97" s="42">
        <v>67699.679999999993</v>
      </c>
      <c r="F97" s="13">
        <f t="shared" si="4"/>
        <v>-58826.969999999994</v>
      </c>
      <c r="G97" s="42">
        <f>54130.71-45258</f>
        <v>8872.7099999999991</v>
      </c>
      <c r="H97" s="17">
        <f>54130.71-45258</f>
        <v>8872.7099999999991</v>
      </c>
    </row>
    <row r="98" spans="1:8" ht="51">
      <c r="A98" s="28" t="s">
        <v>12</v>
      </c>
      <c r="B98" s="15" t="s">
        <v>72</v>
      </c>
      <c r="C98" s="15" t="s">
        <v>13</v>
      </c>
      <c r="D98" s="42">
        <f>16084.76-13676</f>
        <v>2408.7600000000002</v>
      </c>
      <c r="E98" s="42">
        <f>20445.24-2056.9</f>
        <v>18388.34</v>
      </c>
      <c r="F98" s="13">
        <f t="shared" si="4"/>
        <v>-15979.58</v>
      </c>
      <c r="G98" s="42">
        <f>16084.76-13676</f>
        <v>2408.7600000000002</v>
      </c>
      <c r="H98" s="17">
        <f>16084.76-13676</f>
        <v>2408.7600000000002</v>
      </c>
    </row>
    <row r="99" spans="1:8" ht="25.5">
      <c r="A99" s="28" t="s">
        <v>271</v>
      </c>
      <c r="B99" s="15" t="s">
        <v>73</v>
      </c>
      <c r="C99" s="15"/>
      <c r="D99" s="42">
        <f>SUM(D100:D105)</f>
        <v>29522.720000000001</v>
      </c>
      <c r="E99" s="42">
        <f>SUM(E100:E105)</f>
        <v>18199.5</v>
      </c>
      <c r="F99" s="13">
        <f t="shared" si="4"/>
        <v>13782.370000000003</v>
      </c>
      <c r="G99" s="42">
        <f>SUM(G100:G105)</f>
        <v>31981.870000000003</v>
      </c>
      <c r="H99" s="17">
        <f>SUM(H100:H105)</f>
        <v>31795.060000000005</v>
      </c>
    </row>
    <row r="100" spans="1:8" ht="25.5">
      <c r="A100" s="32" t="s">
        <v>15</v>
      </c>
      <c r="B100" s="15" t="s">
        <v>73</v>
      </c>
      <c r="C100" s="15" t="s">
        <v>16</v>
      </c>
      <c r="D100" s="42">
        <v>269.44</v>
      </c>
      <c r="E100" s="42"/>
      <c r="F100" s="13">
        <f t="shared" si="4"/>
        <v>0</v>
      </c>
      <c r="G100" s="42"/>
      <c r="H100" s="17"/>
    </row>
    <row r="101" spans="1:8" ht="38.25">
      <c r="A101" s="33" t="s">
        <v>17</v>
      </c>
      <c r="B101" s="15" t="s">
        <v>73</v>
      </c>
      <c r="C101" s="15" t="s">
        <v>18</v>
      </c>
      <c r="D101" s="42"/>
      <c r="E101" s="42"/>
      <c r="F101" s="13">
        <f t="shared" si="4"/>
        <v>0</v>
      </c>
      <c r="G101" s="42"/>
      <c r="H101" s="17"/>
    </row>
    <row r="102" spans="1:8" ht="25.5">
      <c r="A102" s="28" t="s">
        <v>19</v>
      </c>
      <c r="B102" s="15" t="s">
        <v>73</v>
      </c>
      <c r="C102" s="15" t="s">
        <v>20</v>
      </c>
      <c r="D102" s="42">
        <f>152.4+9627.5+2721.4+3707.9+172+4383.8-5161.42</f>
        <v>15603.58</v>
      </c>
      <c r="E102" s="42">
        <f>18199.5</f>
        <v>18199.5</v>
      </c>
      <c r="F102" s="13">
        <f t="shared" si="4"/>
        <v>132.66999999999825</v>
      </c>
      <c r="G102" s="17">
        <f>152.4+9627.5+2721.4+3707.9+172+4383.8-5161.42-90.68+2819.27</f>
        <v>18332.169999999998</v>
      </c>
      <c r="H102" s="17">
        <f>152.4+9627.5+2721.4+3707.9+172+4383.8-5161.42-90.68+2632.46</f>
        <v>18145.36</v>
      </c>
    </row>
    <row r="103" spans="1:8" ht="25.5">
      <c r="A103" s="28" t="s">
        <v>30</v>
      </c>
      <c r="B103" s="15" t="s">
        <v>73</v>
      </c>
      <c r="C103" s="15" t="s">
        <v>31</v>
      </c>
      <c r="D103" s="42">
        <f>13576.12</f>
        <v>13576.12</v>
      </c>
      <c r="E103" s="42"/>
      <c r="F103" s="13">
        <f t="shared" si="4"/>
        <v>13576.12</v>
      </c>
      <c r="G103" s="42">
        <f>13576.12</f>
        <v>13576.12</v>
      </c>
      <c r="H103" s="17">
        <f>13576.12</f>
        <v>13576.12</v>
      </c>
    </row>
    <row r="104" spans="1:8">
      <c r="A104" s="28" t="s">
        <v>32</v>
      </c>
      <c r="B104" s="15" t="s">
        <v>73</v>
      </c>
      <c r="C104" s="15" t="s">
        <v>33</v>
      </c>
      <c r="D104" s="42">
        <v>73.58</v>
      </c>
      <c r="E104" s="42"/>
      <c r="F104" s="13">
        <f t="shared" si="4"/>
        <v>73.58</v>
      </c>
      <c r="G104" s="42">
        <v>73.58</v>
      </c>
      <c r="H104" s="17">
        <v>73.58</v>
      </c>
    </row>
    <row r="105" spans="1:8">
      <c r="A105" s="28" t="s">
        <v>21</v>
      </c>
      <c r="B105" s="15" t="s">
        <v>73</v>
      </c>
      <c r="C105" s="15" t="s">
        <v>22</v>
      </c>
      <c r="D105" s="42"/>
      <c r="E105" s="42"/>
      <c r="F105" s="13">
        <f t="shared" ref="F105:F136" si="5">G105-E105</f>
        <v>0</v>
      </c>
      <c r="G105" s="42"/>
      <c r="H105" s="17"/>
    </row>
    <row r="106" spans="1:8" ht="25.5">
      <c r="A106" s="28" t="s">
        <v>307</v>
      </c>
      <c r="B106" s="15" t="s">
        <v>270</v>
      </c>
      <c r="C106" s="15"/>
      <c r="D106" s="42">
        <f>D107</f>
        <v>22354.799999999999</v>
      </c>
      <c r="E106" s="42"/>
      <c r="F106" s="13">
        <f t="shared" si="5"/>
        <v>22221.8</v>
      </c>
      <c r="G106" s="42">
        <f>G107</f>
        <v>22221.8</v>
      </c>
      <c r="H106" s="17">
        <f>H107</f>
        <v>17116.66</v>
      </c>
    </row>
    <row r="107" spans="1:8" ht="25.5">
      <c r="A107" s="28" t="s">
        <v>19</v>
      </c>
      <c r="B107" s="15" t="s">
        <v>270</v>
      </c>
      <c r="C107" s="15" t="s">
        <v>20</v>
      </c>
      <c r="D107" s="42">
        <v>22354.799999999999</v>
      </c>
      <c r="E107" s="42"/>
      <c r="F107" s="13">
        <f t="shared" si="5"/>
        <v>22221.8</v>
      </c>
      <c r="G107" s="42">
        <f>22354.8-148+15</f>
        <v>22221.8</v>
      </c>
      <c r="H107" s="17">
        <f>22354.8-4760.64-492.5+15</f>
        <v>17116.66</v>
      </c>
    </row>
    <row r="108" spans="1:8" ht="25.5">
      <c r="A108" s="14" t="s">
        <v>268</v>
      </c>
      <c r="B108" s="15" t="s">
        <v>269</v>
      </c>
      <c r="C108" s="15"/>
      <c r="D108" s="42">
        <f>D109</f>
        <v>78913</v>
      </c>
      <c r="E108" s="42"/>
      <c r="F108" s="13">
        <f t="shared" si="5"/>
        <v>0</v>
      </c>
      <c r="G108" s="42">
        <f>G109</f>
        <v>0</v>
      </c>
      <c r="H108" s="17">
        <f>H109</f>
        <v>0</v>
      </c>
    </row>
    <row r="109" spans="1:8" ht="25.5">
      <c r="A109" s="14" t="s">
        <v>19</v>
      </c>
      <c r="B109" s="15" t="s">
        <v>269</v>
      </c>
      <c r="C109" s="15" t="s">
        <v>20</v>
      </c>
      <c r="D109" s="42">
        <f>75372+3541</f>
        <v>78913</v>
      </c>
      <c r="E109" s="42"/>
      <c r="F109" s="13">
        <f t="shared" si="5"/>
        <v>0</v>
      </c>
      <c r="G109" s="42"/>
      <c r="H109" s="17"/>
    </row>
    <row r="110" spans="1:8" ht="114.75">
      <c r="A110" s="28" t="s">
        <v>56</v>
      </c>
      <c r="B110" s="15" t="s">
        <v>74</v>
      </c>
      <c r="C110" s="15"/>
      <c r="D110" s="42">
        <f>SUBTOTAL(9,D111:D114)</f>
        <v>341248.79</v>
      </c>
      <c r="E110" s="42">
        <f>SUBTOTAL(9,E111:E114)</f>
        <v>325882.94</v>
      </c>
      <c r="F110" s="13">
        <f t="shared" si="5"/>
        <v>19782.450000000012</v>
      </c>
      <c r="G110" s="42">
        <f>SUBTOTAL(9,G111:G114)</f>
        <v>345665.39</v>
      </c>
      <c r="H110" s="17">
        <f>SUBTOTAL(9,H111:H114)</f>
        <v>218554.28999999998</v>
      </c>
    </row>
    <row r="111" spans="1:8" ht="25.5">
      <c r="A111" s="28" t="s">
        <v>10</v>
      </c>
      <c r="B111" s="15" t="s">
        <v>74</v>
      </c>
      <c r="C111" s="15" t="s">
        <v>11</v>
      </c>
      <c r="D111" s="42">
        <v>256863.52</v>
      </c>
      <c r="E111" s="42">
        <f>238045.39-1515+0.43+10215.3</f>
        <v>246746.12</v>
      </c>
      <c r="F111" s="13">
        <f t="shared" si="5"/>
        <v>14534</v>
      </c>
      <c r="G111" s="42">
        <f>256863.52+3392.17+1024.43</f>
        <v>261280.12</v>
      </c>
      <c r="H111" s="17">
        <f>256863.52+3392.17+1024.43-97627.6</f>
        <v>163652.51999999999</v>
      </c>
    </row>
    <row r="112" spans="1:8" s="47" customFormat="1" ht="25.5">
      <c r="A112" s="32" t="s">
        <v>15</v>
      </c>
      <c r="B112" s="15" t="s">
        <v>74</v>
      </c>
      <c r="C112" s="15" t="s">
        <v>16</v>
      </c>
      <c r="D112" s="42">
        <v>840</v>
      </c>
      <c r="E112" s="42">
        <v>1078.53</v>
      </c>
      <c r="F112" s="13">
        <f t="shared" si="5"/>
        <v>-238.52999999999997</v>
      </c>
      <c r="G112" s="42">
        <v>840</v>
      </c>
      <c r="H112" s="17">
        <v>840</v>
      </c>
    </row>
    <row r="113" spans="1:8" ht="51">
      <c r="A113" s="28" t="s">
        <v>12</v>
      </c>
      <c r="B113" s="15" t="s">
        <v>74</v>
      </c>
      <c r="C113" s="15" t="s">
        <v>13</v>
      </c>
      <c r="D113" s="42">
        <v>77572.78</v>
      </c>
      <c r="E113" s="42">
        <f>71432.17+3085</f>
        <v>74517.17</v>
      </c>
      <c r="F113" s="13">
        <f t="shared" si="5"/>
        <v>3055.6100000000006</v>
      </c>
      <c r="G113" s="42">
        <v>77572.78</v>
      </c>
      <c r="H113" s="17">
        <f>77572.78-29483.5</f>
        <v>48089.279999999999</v>
      </c>
    </row>
    <row r="114" spans="1:8" ht="25.5">
      <c r="A114" s="28" t="s">
        <v>19</v>
      </c>
      <c r="B114" s="15" t="s">
        <v>74</v>
      </c>
      <c r="C114" s="15" t="s">
        <v>20</v>
      </c>
      <c r="D114" s="42">
        <v>5972.49</v>
      </c>
      <c r="E114" s="42">
        <v>3541.12</v>
      </c>
      <c r="F114" s="13">
        <f t="shared" si="5"/>
        <v>2431.37</v>
      </c>
      <c r="G114" s="42">
        <v>5972.49</v>
      </c>
      <c r="H114" s="17">
        <v>5972.49</v>
      </c>
    </row>
    <row r="115" spans="1:8" ht="38.25">
      <c r="A115" s="28" t="s">
        <v>23</v>
      </c>
      <c r="B115" s="15" t="s">
        <v>75</v>
      </c>
      <c r="C115" s="15"/>
      <c r="D115" s="42">
        <f>SUBTOTAL(9,D116:D117)</f>
        <v>2005.75</v>
      </c>
      <c r="E115" s="42">
        <f>SUBTOTAL(9,E116:E117)</f>
        <v>1475.86</v>
      </c>
      <c r="F115" s="13">
        <f t="shared" si="5"/>
        <v>529.8900000000001</v>
      </c>
      <c r="G115" s="42">
        <f>SUBTOTAL(9,G116:G117)</f>
        <v>2005.75</v>
      </c>
      <c r="H115" s="17">
        <f>SUBTOTAL(9,H116:H117)</f>
        <v>2005.75</v>
      </c>
    </row>
    <row r="116" spans="1:8" ht="25.5">
      <c r="A116" s="28" t="s">
        <v>10</v>
      </c>
      <c r="B116" s="15" t="s">
        <v>75</v>
      </c>
      <c r="C116" s="15" t="s">
        <v>11</v>
      </c>
      <c r="D116" s="42">
        <f>1520.7+19.8</f>
        <v>1540.5</v>
      </c>
      <c r="E116" s="42">
        <f>1062+68.82+0.24+3.3</f>
        <v>1134.3599999999999</v>
      </c>
      <c r="F116" s="13">
        <f t="shared" si="5"/>
        <v>406.1400000000001</v>
      </c>
      <c r="G116" s="42">
        <f>1520.7+19.8</f>
        <v>1540.5</v>
      </c>
      <c r="H116" s="17">
        <f>1520.7+19.8</f>
        <v>1540.5</v>
      </c>
    </row>
    <row r="117" spans="1:8" ht="51">
      <c r="A117" s="28" t="s">
        <v>12</v>
      </c>
      <c r="B117" s="15" t="s">
        <v>75</v>
      </c>
      <c r="C117" s="15" t="s">
        <v>13</v>
      </c>
      <c r="D117" s="42">
        <f>459.3+5.95</f>
        <v>465.25</v>
      </c>
      <c r="E117" s="42">
        <v>341.5</v>
      </c>
      <c r="F117" s="13">
        <f t="shared" si="5"/>
        <v>123.75</v>
      </c>
      <c r="G117" s="42">
        <f>459.3+5.95</f>
        <v>465.25</v>
      </c>
      <c r="H117" s="17">
        <f>459.3+5.95</f>
        <v>465.25</v>
      </c>
    </row>
    <row r="118" spans="1:8" ht="25.5">
      <c r="A118" s="28" t="s">
        <v>4</v>
      </c>
      <c r="B118" s="15" t="s">
        <v>5</v>
      </c>
      <c r="C118" s="16"/>
      <c r="D118" s="42">
        <f>D119+D125+D131</f>
        <v>53440.369999999995</v>
      </c>
      <c r="E118" s="42">
        <f>E119+E125+E131</f>
        <v>48341.279999999999</v>
      </c>
      <c r="F118" s="13">
        <f t="shared" si="5"/>
        <v>5099.0899999999965</v>
      </c>
      <c r="G118" s="42">
        <f>G119+G125+G131</f>
        <v>53440.369999999995</v>
      </c>
      <c r="H118" s="17">
        <f>H119+H125+H131</f>
        <v>53440.369999999995</v>
      </c>
    </row>
    <row r="119" spans="1:8" ht="25.5">
      <c r="A119" s="31" t="s">
        <v>80</v>
      </c>
      <c r="B119" s="15" t="s">
        <v>81</v>
      </c>
      <c r="C119" s="15"/>
      <c r="D119" s="42">
        <f>D120+D123</f>
        <v>16065.599999999999</v>
      </c>
      <c r="E119" s="42">
        <f>E120+E123</f>
        <v>14993.59</v>
      </c>
      <c r="F119" s="13">
        <f t="shared" si="5"/>
        <v>1072.0099999999984</v>
      </c>
      <c r="G119" s="42">
        <f>G120+G123</f>
        <v>16065.599999999999</v>
      </c>
      <c r="H119" s="17">
        <f>H120+H123</f>
        <v>16065.599999999999</v>
      </c>
    </row>
    <row r="120" spans="1:8" ht="25.5">
      <c r="A120" s="28" t="s">
        <v>82</v>
      </c>
      <c r="B120" s="15" t="s">
        <v>83</v>
      </c>
      <c r="C120" s="15"/>
      <c r="D120" s="42">
        <f>SUBTOTAL(9,D121:D122)</f>
        <v>0</v>
      </c>
      <c r="E120" s="42">
        <f>SUBTOTAL(9,E121:E122)</f>
        <v>14993.59</v>
      </c>
      <c r="F120" s="13">
        <f t="shared" si="5"/>
        <v>-14993.59</v>
      </c>
      <c r="G120" s="42">
        <f>SUBTOTAL(9,G121:G122)</f>
        <v>0</v>
      </c>
      <c r="H120" s="17">
        <f>SUBTOTAL(9,H121:H122)</f>
        <v>0</v>
      </c>
    </row>
    <row r="121" spans="1:8" ht="25.5">
      <c r="A121" s="28" t="s">
        <v>10</v>
      </c>
      <c r="B121" s="15" t="s">
        <v>83</v>
      </c>
      <c r="C121" s="15" t="s">
        <v>11</v>
      </c>
      <c r="D121" s="42"/>
      <c r="E121" s="42">
        <f>10126.72+1389</f>
        <v>11515.72</v>
      </c>
      <c r="F121" s="13">
        <f t="shared" si="5"/>
        <v>-11515.72</v>
      </c>
      <c r="G121" s="42"/>
      <c r="H121" s="17"/>
    </row>
    <row r="122" spans="1:8" ht="51">
      <c r="A122" s="28" t="s">
        <v>12</v>
      </c>
      <c r="B122" s="15" t="s">
        <v>83</v>
      </c>
      <c r="C122" s="15" t="s">
        <v>13</v>
      </c>
      <c r="D122" s="42"/>
      <c r="E122" s="42">
        <f>3058.27+419.6</f>
        <v>3477.87</v>
      </c>
      <c r="F122" s="13">
        <f t="shared" si="5"/>
        <v>-3477.87</v>
      </c>
      <c r="G122" s="42"/>
      <c r="H122" s="17"/>
    </row>
    <row r="123" spans="1:8" ht="38.25">
      <c r="A123" s="28" t="s">
        <v>272</v>
      </c>
      <c r="B123" s="15" t="s">
        <v>84</v>
      </c>
      <c r="C123" s="16"/>
      <c r="D123" s="42">
        <f>SUM(D124:D124)</f>
        <v>16065.599999999999</v>
      </c>
      <c r="E123" s="42">
        <f>SUM(E124:E124)</f>
        <v>0</v>
      </c>
      <c r="F123" s="13">
        <f t="shared" si="5"/>
        <v>16065.599999999999</v>
      </c>
      <c r="G123" s="42">
        <f>SUM(G124:G124)</f>
        <v>16065.599999999999</v>
      </c>
      <c r="H123" s="17">
        <f>SUM(H124:H124)</f>
        <v>16065.599999999999</v>
      </c>
    </row>
    <row r="124" spans="1:8" ht="63.75">
      <c r="A124" s="28" t="s">
        <v>253</v>
      </c>
      <c r="B124" s="15" t="s">
        <v>84</v>
      </c>
      <c r="C124" s="15" t="s">
        <v>254</v>
      </c>
      <c r="D124" s="42">
        <f>12792.4+72+51.88+1093.57+88.54+1905.3+61.91</f>
        <v>16065.599999999999</v>
      </c>
      <c r="E124" s="42"/>
      <c r="F124" s="13">
        <f t="shared" si="5"/>
        <v>16065.599999999999</v>
      </c>
      <c r="G124" s="42">
        <f>12792.4+72+51.88+1093.57+88.54+1905.3+61.91</f>
        <v>16065.599999999999</v>
      </c>
      <c r="H124" s="17">
        <f>12792.4+72+51.88+1093.57+88.54+1905.3+61.91</f>
        <v>16065.599999999999</v>
      </c>
    </row>
    <row r="125" spans="1:8" ht="25.5">
      <c r="A125" s="34" t="s">
        <v>85</v>
      </c>
      <c r="B125" s="15" t="s">
        <v>86</v>
      </c>
      <c r="C125" s="15"/>
      <c r="D125" s="42">
        <f>D126+D129</f>
        <v>24167.510000000002</v>
      </c>
      <c r="E125" s="42">
        <f>E126+E129</f>
        <v>23074.579999999998</v>
      </c>
      <c r="F125" s="13">
        <f t="shared" si="5"/>
        <v>1092.9300000000039</v>
      </c>
      <c r="G125" s="42">
        <f>G126+G129</f>
        <v>24167.510000000002</v>
      </c>
      <c r="H125" s="17">
        <f>H126+H129</f>
        <v>24167.510000000002</v>
      </c>
    </row>
    <row r="126" spans="1:8" ht="25.5">
      <c r="A126" s="28" t="s">
        <v>87</v>
      </c>
      <c r="B126" s="15" t="s">
        <v>88</v>
      </c>
      <c r="C126" s="15"/>
      <c r="D126" s="42">
        <f>SUBTOTAL(9,D127:D128)</f>
        <v>0</v>
      </c>
      <c r="E126" s="42">
        <f>SUBTOTAL(9,E127:E128)</f>
        <v>23074.579999999998</v>
      </c>
      <c r="F126" s="13">
        <f t="shared" si="5"/>
        <v>-23074.579999999998</v>
      </c>
      <c r="G126" s="42">
        <f>SUBTOTAL(9,G127:G128)</f>
        <v>0</v>
      </c>
      <c r="H126" s="17">
        <f>SUBTOTAL(9,H127:H128)</f>
        <v>0</v>
      </c>
    </row>
    <row r="127" spans="1:8" ht="25.5">
      <c r="A127" s="28" t="s">
        <v>10</v>
      </c>
      <c r="B127" s="15" t="s">
        <v>88</v>
      </c>
      <c r="C127" s="15" t="s">
        <v>11</v>
      </c>
      <c r="D127" s="42"/>
      <c r="E127" s="42">
        <f>14994.84+2727.6</f>
        <v>17722.439999999999</v>
      </c>
      <c r="F127" s="13">
        <f t="shared" si="5"/>
        <v>-17722.439999999999</v>
      </c>
      <c r="G127" s="42"/>
      <c r="H127" s="17"/>
    </row>
    <row r="128" spans="1:8" ht="51">
      <c r="A128" s="28" t="s">
        <v>12</v>
      </c>
      <c r="B128" s="15" t="s">
        <v>88</v>
      </c>
      <c r="C128" s="15" t="s">
        <v>13</v>
      </c>
      <c r="D128" s="42"/>
      <c r="E128" s="42">
        <f>4528.44+823.7</f>
        <v>5352.1399999999994</v>
      </c>
      <c r="F128" s="13">
        <f t="shared" si="5"/>
        <v>-5352.1399999999994</v>
      </c>
      <c r="G128" s="42"/>
      <c r="H128" s="17"/>
    </row>
    <row r="129" spans="1:8" ht="38.25">
      <c r="A129" s="28" t="s">
        <v>273</v>
      </c>
      <c r="B129" s="15" t="s">
        <v>89</v>
      </c>
      <c r="C129" s="16"/>
      <c r="D129" s="42">
        <f>D130</f>
        <v>24167.510000000002</v>
      </c>
      <c r="E129" s="42">
        <f>E130</f>
        <v>0</v>
      </c>
      <c r="F129" s="13">
        <f t="shared" si="5"/>
        <v>24167.510000000002</v>
      </c>
      <c r="G129" s="42">
        <f>G130</f>
        <v>24167.510000000002</v>
      </c>
      <c r="H129" s="17">
        <f>H130</f>
        <v>24167.510000000002</v>
      </c>
    </row>
    <row r="130" spans="1:8" ht="63.75">
      <c r="A130" s="28" t="s">
        <v>253</v>
      </c>
      <c r="B130" s="15" t="s">
        <v>89</v>
      </c>
      <c r="C130" s="15" t="s">
        <v>254</v>
      </c>
      <c r="D130" s="42">
        <f>18172.2+139.36+57.76+625.6+135.2+4675.2+47.81+314.38</f>
        <v>24167.510000000002</v>
      </c>
      <c r="E130" s="42"/>
      <c r="F130" s="13">
        <f t="shared" si="5"/>
        <v>24167.510000000002</v>
      </c>
      <c r="G130" s="42">
        <f>18172.2+139.36+57.76+625.6+135.2+4675.2+47.81+314.38</f>
        <v>24167.510000000002</v>
      </c>
      <c r="H130" s="17">
        <f>18172.2+139.36+57.76+625.6+135.2+4675.2+47.81+314.38</f>
        <v>24167.510000000002</v>
      </c>
    </row>
    <row r="131" spans="1:8" s="47" customFormat="1" ht="38.25">
      <c r="A131" s="31" t="s">
        <v>6</v>
      </c>
      <c r="B131" s="15" t="s">
        <v>7</v>
      </c>
      <c r="C131" s="7"/>
      <c r="D131" s="41">
        <f>D132+D135</f>
        <v>13207.259999999998</v>
      </c>
      <c r="E131" s="41">
        <f>E132+E135</f>
        <v>10273.11</v>
      </c>
      <c r="F131" s="13">
        <f t="shared" si="5"/>
        <v>2934.1499999999978</v>
      </c>
      <c r="G131" s="41">
        <f>G132+G135</f>
        <v>13207.259999999998</v>
      </c>
      <c r="H131" s="13">
        <f>H132+H135</f>
        <v>13207.259999999998</v>
      </c>
    </row>
    <row r="132" spans="1:8" ht="38.25">
      <c r="A132" s="28" t="s">
        <v>8</v>
      </c>
      <c r="B132" s="15" t="s">
        <v>9</v>
      </c>
      <c r="C132" s="15"/>
      <c r="D132" s="41">
        <f>D133+D134</f>
        <v>0</v>
      </c>
      <c r="E132" s="41">
        <f>E133+E134</f>
        <v>10273.11</v>
      </c>
      <c r="F132" s="13">
        <f t="shared" si="5"/>
        <v>-10273.11</v>
      </c>
      <c r="G132" s="41">
        <f>G133+G134</f>
        <v>0</v>
      </c>
      <c r="H132" s="13">
        <f>H133+H134</f>
        <v>0</v>
      </c>
    </row>
    <row r="133" spans="1:8" ht="25.5">
      <c r="A133" s="28" t="s">
        <v>10</v>
      </c>
      <c r="B133" s="15" t="s">
        <v>9</v>
      </c>
      <c r="C133" s="15" t="s">
        <v>11</v>
      </c>
      <c r="D133" s="41"/>
      <c r="E133" s="41">
        <v>7890.28</v>
      </c>
      <c r="F133" s="13">
        <f t="shared" si="5"/>
        <v>-7890.28</v>
      </c>
      <c r="G133" s="41"/>
      <c r="H133" s="13"/>
    </row>
    <row r="134" spans="1:8" ht="51">
      <c r="A134" s="28" t="s">
        <v>12</v>
      </c>
      <c r="B134" s="15" t="s">
        <v>9</v>
      </c>
      <c r="C134" s="15" t="s">
        <v>13</v>
      </c>
      <c r="D134" s="41"/>
      <c r="E134" s="41">
        <v>2382.83</v>
      </c>
      <c r="F134" s="13">
        <f t="shared" si="5"/>
        <v>-2382.83</v>
      </c>
      <c r="G134" s="41"/>
      <c r="H134" s="13"/>
    </row>
    <row r="135" spans="1:8" ht="38.25">
      <c r="A135" s="28" t="s">
        <v>255</v>
      </c>
      <c r="B135" s="15" t="s">
        <v>14</v>
      </c>
      <c r="C135" s="16"/>
      <c r="D135" s="41">
        <f>SUM(D136:D136)</f>
        <v>13207.259999999998</v>
      </c>
      <c r="E135" s="41">
        <f>SUM(E136:E136)</f>
        <v>0</v>
      </c>
      <c r="F135" s="13">
        <f t="shared" si="5"/>
        <v>13207.259999999998</v>
      </c>
      <c r="G135" s="41">
        <f>SUM(G136:G136)</f>
        <v>13207.259999999998</v>
      </c>
      <c r="H135" s="13">
        <f>SUM(H136:H136)</f>
        <v>13207.259999999998</v>
      </c>
    </row>
    <row r="136" spans="1:8" ht="63.75">
      <c r="A136" s="28" t="s">
        <v>253</v>
      </c>
      <c r="B136" s="15" t="s">
        <v>14</v>
      </c>
      <c r="C136" s="15" t="s">
        <v>254</v>
      </c>
      <c r="D136" s="41">
        <f>11388.15+33.4+1429.21+332+24.5</f>
        <v>13207.259999999998</v>
      </c>
      <c r="E136" s="41"/>
      <c r="F136" s="13">
        <f t="shared" si="5"/>
        <v>13207.259999999998</v>
      </c>
      <c r="G136" s="41">
        <f>11388.15+33.4+1429.21+332+24.5</f>
        <v>13207.259999999998</v>
      </c>
      <c r="H136" s="13">
        <f>11388.15+33.4+1429.21+332+24.5</f>
        <v>13207.259999999998</v>
      </c>
    </row>
    <row r="137" spans="1:8" ht="38.25">
      <c r="A137" s="28" t="s">
        <v>23</v>
      </c>
      <c r="B137" s="15" t="s">
        <v>24</v>
      </c>
      <c r="C137" s="15"/>
      <c r="D137" s="42">
        <f>D138+D139+D140</f>
        <v>319</v>
      </c>
      <c r="E137" s="42">
        <f>E138+E139</f>
        <v>179.67000000000002</v>
      </c>
      <c r="F137" s="13">
        <f t="shared" ref="F137:F168" si="6">G137-E137</f>
        <v>139.32999999999998</v>
      </c>
      <c r="G137" s="42">
        <f>G138+G139+G140</f>
        <v>319</v>
      </c>
      <c r="H137" s="17">
        <f>H138+H139+H140</f>
        <v>319</v>
      </c>
    </row>
    <row r="138" spans="1:8" ht="25.5">
      <c r="A138" s="28" t="s">
        <v>10</v>
      </c>
      <c r="B138" s="15" t="s">
        <v>24</v>
      </c>
      <c r="C138" s="15" t="s">
        <v>11</v>
      </c>
      <c r="D138" s="42"/>
      <c r="E138" s="42">
        <f>158-25+5</f>
        <v>138</v>
      </c>
      <c r="F138" s="13">
        <f t="shared" si="6"/>
        <v>-138</v>
      </c>
      <c r="G138" s="42"/>
      <c r="H138" s="17"/>
    </row>
    <row r="139" spans="1:8" ht="51">
      <c r="A139" s="28" t="s">
        <v>12</v>
      </c>
      <c r="B139" s="15" t="s">
        <v>24</v>
      </c>
      <c r="C139" s="15" t="s">
        <v>13</v>
      </c>
      <c r="D139" s="42"/>
      <c r="E139" s="42">
        <v>41.67</v>
      </c>
      <c r="F139" s="13">
        <f t="shared" si="6"/>
        <v>-41.67</v>
      </c>
      <c r="G139" s="42"/>
      <c r="H139" s="17"/>
    </row>
    <row r="140" spans="1:8" ht="63.75">
      <c r="A140" s="28" t="s">
        <v>253</v>
      </c>
      <c r="B140" s="15" t="s">
        <v>24</v>
      </c>
      <c r="C140" s="15" t="s">
        <v>254</v>
      </c>
      <c r="D140" s="42">
        <v>319</v>
      </c>
      <c r="E140" s="42"/>
      <c r="F140" s="13">
        <f t="shared" si="6"/>
        <v>319</v>
      </c>
      <c r="G140" s="42">
        <v>319</v>
      </c>
      <c r="H140" s="17">
        <v>319</v>
      </c>
    </row>
    <row r="141" spans="1:8" ht="25.5">
      <c r="A141" s="28" t="s">
        <v>240</v>
      </c>
      <c r="B141" s="15" t="s">
        <v>386</v>
      </c>
      <c r="C141" s="15"/>
      <c r="D141" s="42">
        <f>D142+D148</f>
        <v>2459.6</v>
      </c>
      <c r="E141" s="42">
        <f>E142+E148</f>
        <v>2715.45</v>
      </c>
      <c r="F141" s="13">
        <f t="shared" si="6"/>
        <v>-255.84999999999991</v>
      </c>
      <c r="G141" s="42">
        <f>G142+G148</f>
        <v>2459.6</v>
      </c>
      <c r="H141" s="17">
        <f>H142+H148</f>
        <v>2459.6</v>
      </c>
    </row>
    <row r="142" spans="1:8" ht="25.5">
      <c r="A142" s="28" t="s">
        <v>241</v>
      </c>
      <c r="B142" s="15" t="s">
        <v>387</v>
      </c>
      <c r="C142" s="15"/>
      <c r="D142" s="42">
        <f>D143+D146</f>
        <v>1459.6</v>
      </c>
      <c r="E142" s="42">
        <f>E143+E146</f>
        <v>2715.45</v>
      </c>
      <c r="F142" s="13">
        <f t="shared" si="6"/>
        <v>-1255.8499999999999</v>
      </c>
      <c r="G142" s="42">
        <f>G143+G146</f>
        <v>1459.6</v>
      </c>
      <c r="H142" s="17">
        <f>H143+H146</f>
        <v>1459.6</v>
      </c>
    </row>
    <row r="143" spans="1:8" s="47" customFormat="1" ht="25.5">
      <c r="A143" s="28" t="s">
        <v>242</v>
      </c>
      <c r="B143" s="15" t="s">
        <v>388</v>
      </c>
      <c r="C143" s="4"/>
      <c r="D143" s="42">
        <f>SUBTOTAL(9,D144:D145)</f>
        <v>975.6</v>
      </c>
      <c r="E143" s="42">
        <f>SUBTOTAL(9,E144:E145)</f>
        <v>2715.45</v>
      </c>
      <c r="F143" s="13">
        <f t="shared" si="6"/>
        <v>-1739.85</v>
      </c>
      <c r="G143" s="42">
        <f>SUBTOTAL(9,G144:G145)</f>
        <v>975.6</v>
      </c>
      <c r="H143" s="17">
        <f>SUBTOTAL(9,H144:H145)</f>
        <v>975.6</v>
      </c>
    </row>
    <row r="144" spans="1:8" ht="25.5">
      <c r="A144" s="28" t="s">
        <v>10</v>
      </c>
      <c r="B144" s="15" t="s">
        <v>388</v>
      </c>
      <c r="C144" s="15" t="s">
        <v>11</v>
      </c>
      <c r="D144" s="42">
        <v>975.6</v>
      </c>
      <c r="E144" s="42">
        <v>2085.6</v>
      </c>
      <c r="F144" s="13">
        <f t="shared" si="6"/>
        <v>-1110</v>
      </c>
      <c r="G144" s="42">
        <v>975.6</v>
      </c>
      <c r="H144" s="17">
        <v>975.6</v>
      </c>
    </row>
    <row r="145" spans="1:8" ht="51">
      <c r="A145" s="28" t="s">
        <v>12</v>
      </c>
      <c r="B145" s="15" t="s">
        <v>388</v>
      </c>
      <c r="C145" s="15" t="s">
        <v>13</v>
      </c>
      <c r="D145" s="42"/>
      <c r="E145" s="42">
        <v>629.85</v>
      </c>
      <c r="F145" s="13">
        <f t="shared" si="6"/>
        <v>-629.85</v>
      </c>
      <c r="G145" s="42"/>
      <c r="H145" s="17"/>
    </row>
    <row r="146" spans="1:8" ht="25.5">
      <c r="A146" s="28" t="s">
        <v>243</v>
      </c>
      <c r="B146" s="15" t="s">
        <v>389</v>
      </c>
      <c r="C146" s="4"/>
      <c r="D146" s="42">
        <f>SUBTOTAL(9,D147:D147)</f>
        <v>484</v>
      </c>
      <c r="E146" s="42">
        <f>SUBTOTAL(9,E147:E147)</f>
        <v>0</v>
      </c>
      <c r="F146" s="13">
        <f t="shared" si="6"/>
        <v>484</v>
      </c>
      <c r="G146" s="42">
        <f>SUBTOTAL(9,G147:G147)</f>
        <v>484</v>
      </c>
      <c r="H146" s="17">
        <f>SUBTOTAL(9,H147:H147)</f>
        <v>484</v>
      </c>
    </row>
    <row r="147" spans="1:8" ht="25.5">
      <c r="A147" s="28" t="s">
        <v>30</v>
      </c>
      <c r="B147" s="15" t="s">
        <v>389</v>
      </c>
      <c r="C147" s="4" t="s">
        <v>31</v>
      </c>
      <c r="D147" s="42">
        <v>484</v>
      </c>
      <c r="E147" s="42"/>
      <c r="F147" s="13">
        <f t="shared" si="6"/>
        <v>484</v>
      </c>
      <c r="G147" s="42">
        <v>484</v>
      </c>
      <c r="H147" s="17">
        <v>484</v>
      </c>
    </row>
    <row r="148" spans="1:8">
      <c r="A148" s="28" t="s">
        <v>244</v>
      </c>
      <c r="B148" s="15" t="s">
        <v>390</v>
      </c>
      <c r="C148" s="15"/>
      <c r="D148" s="42">
        <f>SUM(D149:D150)</f>
        <v>1000</v>
      </c>
      <c r="E148" s="42">
        <f>SUM(E149:E150)</f>
        <v>0</v>
      </c>
      <c r="F148" s="13">
        <f t="shared" si="6"/>
        <v>1000</v>
      </c>
      <c r="G148" s="42">
        <f>SUM(G149:G150)</f>
        <v>1000</v>
      </c>
      <c r="H148" s="17">
        <f>SUM(H149:H150)</f>
        <v>1000</v>
      </c>
    </row>
    <row r="149" spans="1:8" ht="38.25">
      <c r="A149" s="33" t="s">
        <v>17</v>
      </c>
      <c r="B149" s="15" t="s">
        <v>390</v>
      </c>
      <c r="C149" s="15" t="s">
        <v>18</v>
      </c>
      <c r="D149" s="42">
        <v>200</v>
      </c>
      <c r="E149" s="42"/>
      <c r="F149" s="13">
        <f t="shared" si="6"/>
        <v>200</v>
      </c>
      <c r="G149" s="42">
        <v>200</v>
      </c>
      <c r="H149" s="17">
        <v>200</v>
      </c>
    </row>
    <row r="150" spans="1:8" ht="25.5">
      <c r="A150" s="28" t="s">
        <v>19</v>
      </c>
      <c r="B150" s="15" t="s">
        <v>390</v>
      </c>
      <c r="C150" s="15" t="s">
        <v>20</v>
      </c>
      <c r="D150" s="42">
        <v>800</v>
      </c>
      <c r="E150" s="42"/>
      <c r="F150" s="13">
        <f t="shared" si="6"/>
        <v>800</v>
      </c>
      <c r="G150" s="42">
        <v>800</v>
      </c>
      <c r="H150" s="17">
        <v>800</v>
      </c>
    </row>
    <row r="151" spans="1:8" ht="25.5">
      <c r="A151" s="28" t="s">
        <v>90</v>
      </c>
      <c r="B151" s="15" t="s">
        <v>91</v>
      </c>
      <c r="C151" s="15"/>
      <c r="D151" s="42">
        <f>D153</f>
        <v>1649.9</v>
      </c>
      <c r="E151" s="42">
        <f>E153</f>
        <v>0</v>
      </c>
      <c r="F151" s="13">
        <f t="shared" si="6"/>
        <v>1649.9</v>
      </c>
      <c r="G151" s="42">
        <f>G153</f>
        <v>1649.9</v>
      </c>
      <c r="H151" s="17">
        <f>H153</f>
        <v>1649.9</v>
      </c>
    </row>
    <row r="152" spans="1:8" ht="25.5">
      <c r="A152" s="34" t="s">
        <v>92</v>
      </c>
      <c r="B152" s="15" t="s">
        <v>93</v>
      </c>
      <c r="C152" s="15"/>
      <c r="D152" s="42">
        <f>D153</f>
        <v>1649.9</v>
      </c>
      <c r="E152" s="42">
        <f>E153</f>
        <v>0</v>
      </c>
      <c r="F152" s="13">
        <f t="shared" si="6"/>
        <v>1649.9</v>
      </c>
      <c r="G152" s="42">
        <f>G153</f>
        <v>1649.9</v>
      </c>
      <c r="H152" s="17">
        <f>H153</f>
        <v>1649.9</v>
      </c>
    </row>
    <row r="153" spans="1:8" ht="25.5">
      <c r="A153" s="28" t="s">
        <v>19</v>
      </c>
      <c r="B153" s="15" t="s">
        <v>93</v>
      </c>
      <c r="C153" s="15" t="s">
        <v>20</v>
      </c>
      <c r="D153" s="42">
        <v>1649.9</v>
      </c>
      <c r="E153" s="42"/>
      <c r="F153" s="13">
        <f t="shared" si="6"/>
        <v>1649.9</v>
      </c>
      <c r="G153" s="42">
        <v>1649.9</v>
      </c>
      <c r="H153" s="17">
        <v>1649.9</v>
      </c>
    </row>
    <row r="154" spans="1:8" ht="38.25">
      <c r="A154" s="28" t="s">
        <v>94</v>
      </c>
      <c r="B154" s="15" t="s">
        <v>95</v>
      </c>
      <c r="C154" s="15"/>
      <c r="D154" s="42">
        <f>D155+D156</f>
        <v>2029.7</v>
      </c>
      <c r="E154" s="42">
        <f>E155+E156</f>
        <v>2151.6999999999998</v>
      </c>
      <c r="F154" s="13">
        <f t="shared" si="6"/>
        <v>-82.5</v>
      </c>
      <c r="G154" s="42">
        <f>G155+G156</f>
        <v>2069.1999999999998</v>
      </c>
      <c r="H154" s="17">
        <f>H155+H156</f>
        <v>2069.1999999999998</v>
      </c>
    </row>
    <row r="155" spans="1:8" ht="38.25">
      <c r="A155" s="28" t="s">
        <v>96</v>
      </c>
      <c r="B155" s="15" t="s">
        <v>95</v>
      </c>
      <c r="C155" s="15" t="s">
        <v>97</v>
      </c>
      <c r="D155" s="42">
        <v>540</v>
      </c>
      <c r="E155" s="42">
        <v>388</v>
      </c>
      <c r="F155" s="13">
        <f t="shared" si="6"/>
        <v>191.5</v>
      </c>
      <c r="G155" s="42">
        <f>540+39.5</f>
        <v>579.5</v>
      </c>
      <c r="H155" s="17">
        <f>540+39.5</f>
        <v>579.5</v>
      </c>
    </row>
    <row r="156" spans="1:8" ht="25.5">
      <c r="A156" s="28" t="s">
        <v>19</v>
      </c>
      <c r="B156" s="15" t="s">
        <v>95</v>
      </c>
      <c r="C156" s="15" t="s">
        <v>20</v>
      </c>
      <c r="D156" s="42">
        <v>1489.7</v>
      </c>
      <c r="E156" s="42">
        <f>1821-56.8-0.5</f>
        <v>1763.7</v>
      </c>
      <c r="F156" s="13">
        <f t="shared" si="6"/>
        <v>-274</v>
      </c>
      <c r="G156" s="42">
        <v>1489.7</v>
      </c>
      <c r="H156" s="17">
        <v>1489.7</v>
      </c>
    </row>
    <row r="157" spans="1:8" ht="25.5">
      <c r="A157" s="28" t="s">
        <v>63</v>
      </c>
      <c r="B157" s="15" t="s">
        <v>64</v>
      </c>
      <c r="C157" s="15"/>
      <c r="D157" s="42">
        <f>D158</f>
        <v>24990.799999999999</v>
      </c>
      <c r="E157" s="42">
        <f>E158</f>
        <v>0</v>
      </c>
      <c r="F157" s="13">
        <f t="shared" si="6"/>
        <v>24990.799999999999</v>
      </c>
      <c r="G157" s="42">
        <f>G158</f>
        <v>24990.799999999999</v>
      </c>
      <c r="H157" s="17">
        <f>H158</f>
        <v>24990.799999999999</v>
      </c>
    </row>
    <row r="158" spans="1:8" ht="25.5">
      <c r="A158" s="28" t="s">
        <v>63</v>
      </c>
      <c r="B158" s="15" t="s">
        <v>64</v>
      </c>
      <c r="C158" s="15"/>
      <c r="D158" s="42">
        <f>D159+D161</f>
        <v>24990.799999999999</v>
      </c>
      <c r="E158" s="42">
        <f>E159+E161</f>
        <v>0</v>
      </c>
      <c r="F158" s="13">
        <f t="shared" si="6"/>
        <v>24990.799999999999</v>
      </c>
      <c r="G158" s="42">
        <f>G159+G161</f>
        <v>24990.799999999999</v>
      </c>
      <c r="H158" s="17">
        <f>H159+H161</f>
        <v>24990.799999999999</v>
      </c>
    </row>
    <row r="159" spans="1:8">
      <c r="A159" s="28" t="s">
        <v>65</v>
      </c>
      <c r="B159" s="15" t="s">
        <v>66</v>
      </c>
      <c r="C159" s="15"/>
      <c r="D159" s="42">
        <f>D160</f>
        <v>13267.3</v>
      </c>
      <c r="E159" s="42">
        <f>E160</f>
        <v>0</v>
      </c>
      <c r="F159" s="13">
        <f t="shared" si="6"/>
        <v>13267.3</v>
      </c>
      <c r="G159" s="42">
        <f>G160</f>
        <v>13267.3</v>
      </c>
      <c r="H159" s="17">
        <f>H160</f>
        <v>13267.3</v>
      </c>
    </row>
    <row r="160" spans="1:8" ht="25.5">
      <c r="A160" s="28" t="s">
        <v>19</v>
      </c>
      <c r="B160" s="15" t="s">
        <v>66</v>
      </c>
      <c r="C160" s="15" t="s">
        <v>20</v>
      </c>
      <c r="D160" s="42">
        <v>13267.3</v>
      </c>
      <c r="E160" s="42"/>
      <c r="F160" s="13">
        <f t="shared" si="6"/>
        <v>13267.3</v>
      </c>
      <c r="G160" s="42">
        <v>13267.3</v>
      </c>
      <c r="H160" s="17">
        <v>13267.3</v>
      </c>
    </row>
    <row r="161" spans="1:8" ht="38.25">
      <c r="A161" s="28" t="s">
        <v>76</v>
      </c>
      <c r="B161" s="15" t="s">
        <v>77</v>
      </c>
      <c r="C161" s="15"/>
      <c r="D161" s="42">
        <f>D162</f>
        <v>11723.5</v>
      </c>
      <c r="E161" s="42">
        <f>E162</f>
        <v>0</v>
      </c>
      <c r="F161" s="13">
        <f t="shared" si="6"/>
        <v>11723.5</v>
      </c>
      <c r="G161" s="42">
        <f>G162</f>
        <v>11723.5</v>
      </c>
      <c r="H161" s="17">
        <f>H162</f>
        <v>11723.5</v>
      </c>
    </row>
    <row r="162" spans="1:8" ht="25.5">
      <c r="A162" s="28" t="s">
        <v>19</v>
      </c>
      <c r="B162" s="15" t="s">
        <v>77</v>
      </c>
      <c r="C162" s="15" t="s">
        <v>20</v>
      </c>
      <c r="D162" s="42">
        <f>11755.3-31.8</f>
        <v>11723.5</v>
      </c>
      <c r="E162" s="42"/>
      <c r="F162" s="13">
        <f t="shared" si="6"/>
        <v>11723.5</v>
      </c>
      <c r="G162" s="42">
        <f>11755.3-31.8</f>
        <v>11723.5</v>
      </c>
      <c r="H162" s="17">
        <f>11755.3-31.8</f>
        <v>11723.5</v>
      </c>
    </row>
    <row r="163" spans="1:8" ht="25.5">
      <c r="A163" s="28" t="s">
        <v>78</v>
      </c>
      <c r="B163" s="15" t="s">
        <v>79</v>
      </c>
      <c r="C163" s="15"/>
      <c r="D163" s="42">
        <f>D164</f>
        <v>3175.5</v>
      </c>
      <c r="E163" s="42">
        <f>E164</f>
        <v>3279.7</v>
      </c>
      <c r="F163" s="13">
        <f t="shared" si="6"/>
        <v>1625.5000000000009</v>
      </c>
      <c r="G163" s="42">
        <f>G164</f>
        <v>4905.2000000000007</v>
      </c>
      <c r="H163" s="17">
        <f>H164</f>
        <v>4905.2000000000007</v>
      </c>
    </row>
    <row r="164" spans="1:8" ht="25.5">
      <c r="A164" s="28" t="s">
        <v>19</v>
      </c>
      <c r="B164" s="15" t="s">
        <v>79</v>
      </c>
      <c r="C164" s="15" t="s">
        <v>20</v>
      </c>
      <c r="D164" s="42">
        <f>3143.7+31.8</f>
        <v>3175.5</v>
      </c>
      <c r="E164" s="42">
        <v>3279.7</v>
      </c>
      <c r="F164" s="13">
        <f t="shared" si="6"/>
        <v>1625.5000000000009</v>
      </c>
      <c r="G164" s="42">
        <f>4856.1+49.1</f>
        <v>4905.2000000000007</v>
      </c>
      <c r="H164" s="17">
        <f>4856.1+49.1</f>
        <v>4905.2000000000007</v>
      </c>
    </row>
    <row r="165" spans="1:8">
      <c r="A165" s="28" t="s">
        <v>98</v>
      </c>
      <c r="B165" s="15" t="s">
        <v>99</v>
      </c>
      <c r="C165" s="7"/>
      <c r="D165" s="42">
        <f>D166</f>
        <v>100</v>
      </c>
      <c r="E165" s="42"/>
      <c r="F165" s="13">
        <f t="shared" si="6"/>
        <v>100</v>
      </c>
      <c r="G165" s="42">
        <f>G166</f>
        <v>100</v>
      </c>
      <c r="H165" s="17">
        <f>H166</f>
        <v>100</v>
      </c>
    </row>
    <row r="166" spans="1:8">
      <c r="A166" s="28" t="s">
        <v>229</v>
      </c>
      <c r="B166" s="15" t="s">
        <v>230</v>
      </c>
      <c r="C166" s="15"/>
      <c r="D166" s="42">
        <f>D167</f>
        <v>100</v>
      </c>
      <c r="E166" s="42">
        <f>E167</f>
        <v>0</v>
      </c>
      <c r="F166" s="13">
        <f t="shared" si="6"/>
        <v>100</v>
      </c>
      <c r="G166" s="42">
        <f>G167</f>
        <v>100</v>
      </c>
      <c r="H166" s="17">
        <f>H167</f>
        <v>100</v>
      </c>
    </row>
    <row r="167" spans="1:8" ht="25.5">
      <c r="A167" s="28" t="s">
        <v>19</v>
      </c>
      <c r="B167" s="15" t="s">
        <v>230</v>
      </c>
      <c r="C167" s="15" t="s">
        <v>20</v>
      </c>
      <c r="D167" s="42">
        <v>100</v>
      </c>
      <c r="E167" s="42"/>
      <c r="F167" s="13">
        <f t="shared" si="6"/>
        <v>100</v>
      </c>
      <c r="G167" s="42">
        <v>100</v>
      </c>
      <c r="H167" s="17">
        <v>100</v>
      </c>
    </row>
    <row r="168" spans="1:8" ht="25.5">
      <c r="A168" s="28" t="s">
        <v>274</v>
      </c>
      <c r="B168" s="15" t="s">
        <v>100</v>
      </c>
      <c r="C168" s="15"/>
      <c r="D168" s="42">
        <f>D169</f>
        <v>100</v>
      </c>
      <c r="E168" s="42">
        <f>E169</f>
        <v>0</v>
      </c>
      <c r="F168" s="13">
        <f t="shared" si="6"/>
        <v>100</v>
      </c>
      <c r="G168" s="42">
        <f>G169</f>
        <v>100</v>
      </c>
      <c r="H168" s="17">
        <f>H169</f>
        <v>100</v>
      </c>
    </row>
    <row r="169" spans="1:8">
      <c r="A169" s="28" t="s">
        <v>101</v>
      </c>
      <c r="B169" s="15" t="s">
        <v>100</v>
      </c>
      <c r="C169" s="15" t="s">
        <v>102</v>
      </c>
      <c r="D169" s="42">
        <v>100</v>
      </c>
      <c r="E169" s="42"/>
      <c r="F169" s="13">
        <f t="shared" ref="F169:F172" si="7">G169-E169</f>
        <v>100</v>
      </c>
      <c r="G169" s="42">
        <v>100</v>
      </c>
      <c r="H169" s="17">
        <v>100</v>
      </c>
    </row>
    <row r="170" spans="1:8" ht="25.5">
      <c r="A170" s="14" t="s">
        <v>404</v>
      </c>
      <c r="B170" s="15" t="s">
        <v>405</v>
      </c>
      <c r="C170" s="15"/>
      <c r="D170" s="42">
        <f>D171</f>
        <v>3181.11</v>
      </c>
      <c r="E170" s="42"/>
      <c r="F170" s="13">
        <f t="shared" si="7"/>
        <v>3262.7999999999997</v>
      </c>
      <c r="G170" s="42">
        <f>G171</f>
        <v>3262.7999999999997</v>
      </c>
      <c r="H170" s="17">
        <f>H171</f>
        <v>4318.8</v>
      </c>
    </row>
    <row r="171" spans="1:8" ht="38.25">
      <c r="A171" s="14" t="s">
        <v>406</v>
      </c>
      <c r="B171" s="15" t="s">
        <v>407</v>
      </c>
      <c r="C171" s="15"/>
      <c r="D171" s="42">
        <f>D172</f>
        <v>3181.11</v>
      </c>
      <c r="E171" s="42"/>
      <c r="F171" s="13">
        <f t="shared" si="7"/>
        <v>3262.7999999999997</v>
      </c>
      <c r="G171" s="42">
        <f>G172</f>
        <v>3262.7999999999997</v>
      </c>
      <c r="H171" s="17">
        <f>H172</f>
        <v>4318.8</v>
      </c>
    </row>
    <row r="172" spans="1:8" ht="25.5">
      <c r="A172" s="14" t="s">
        <v>139</v>
      </c>
      <c r="B172" s="15" t="s">
        <v>407</v>
      </c>
      <c r="C172" s="15" t="s">
        <v>140</v>
      </c>
      <c r="D172" s="42">
        <f>3149.3+31.81</f>
        <v>3181.11</v>
      </c>
      <c r="E172" s="42"/>
      <c r="F172" s="13">
        <f t="shared" si="7"/>
        <v>3262.7999999999997</v>
      </c>
      <c r="G172" s="42">
        <f>3230.2+32.6</f>
        <v>3262.7999999999997</v>
      </c>
      <c r="H172" s="17">
        <f>4275.6+43.2</f>
        <v>4318.8</v>
      </c>
    </row>
    <row r="173" spans="1:8">
      <c r="A173" s="30" t="s">
        <v>260</v>
      </c>
      <c r="B173" s="15" t="s">
        <v>259</v>
      </c>
      <c r="C173" s="7"/>
      <c r="D173" s="41" t="e">
        <f>#REF!+D186</f>
        <v>#REF!</v>
      </c>
      <c r="E173" s="41" t="e">
        <f>#REF!+E186</f>
        <v>#REF!</v>
      </c>
      <c r="F173" s="13">
        <v>9597.0799999999945</v>
      </c>
      <c r="G173" s="41">
        <v>38509.019999999997</v>
      </c>
      <c r="H173" s="13">
        <v>38512.86</v>
      </c>
    </row>
    <row r="174" spans="1:8" ht="25.5">
      <c r="A174" s="30" t="s">
        <v>26</v>
      </c>
      <c r="B174" s="7" t="s">
        <v>343</v>
      </c>
      <c r="C174" s="7"/>
      <c r="D174" s="41">
        <f>D175+D187</f>
        <v>36225.42</v>
      </c>
      <c r="E174" s="41">
        <f>E175</f>
        <v>28911.940000000002</v>
      </c>
      <c r="F174" s="13">
        <f t="shared" ref="F174:F219" si="8">G174-E174</f>
        <v>6762.679999999993</v>
      </c>
      <c r="G174" s="41">
        <f>G175+G187</f>
        <v>35674.619999999995</v>
      </c>
      <c r="H174" s="13">
        <f>H175+H187</f>
        <v>35678.46</v>
      </c>
    </row>
    <row r="175" spans="1:8" ht="25.5">
      <c r="A175" s="31" t="s">
        <v>27</v>
      </c>
      <c r="B175" s="7" t="s">
        <v>344</v>
      </c>
      <c r="C175" s="7"/>
      <c r="D175" s="41">
        <f>D176+D179+D185</f>
        <v>35166.33</v>
      </c>
      <c r="E175" s="41">
        <f>E176+E179+E185</f>
        <v>28911.940000000002</v>
      </c>
      <c r="F175" s="13">
        <f t="shared" si="8"/>
        <v>5703.5899999999965</v>
      </c>
      <c r="G175" s="41">
        <f>G176+G179+G185</f>
        <v>34615.53</v>
      </c>
      <c r="H175" s="13">
        <f>H176+H179+H185</f>
        <v>34615.53</v>
      </c>
    </row>
    <row r="176" spans="1:8" ht="25.5">
      <c r="A176" s="28" t="s">
        <v>28</v>
      </c>
      <c r="B176" s="7" t="s">
        <v>345</v>
      </c>
      <c r="C176" s="7"/>
      <c r="D176" s="41">
        <f>D177+D178</f>
        <v>30089</v>
      </c>
      <c r="E176" s="41">
        <f>E177+E178</f>
        <v>28911.940000000002</v>
      </c>
      <c r="F176" s="13">
        <f t="shared" si="8"/>
        <v>1177.0599999999977</v>
      </c>
      <c r="G176" s="41">
        <f>G177+G178</f>
        <v>30089</v>
      </c>
      <c r="H176" s="13">
        <f>H177+H178</f>
        <v>30089</v>
      </c>
    </row>
    <row r="177" spans="1:8" ht="25.5">
      <c r="A177" s="28" t="s">
        <v>10</v>
      </c>
      <c r="B177" s="7" t="s">
        <v>345</v>
      </c>
      <c r="C177" s="15" t="s">
        <v>11</v>
      </c>
      <c r="D177" s="41">
        <v>23336.1</v>
      </c>
      <c r="E177" s="41">
        <f>17904.72+4301</f>
        <v>22205.72</v>
      </c>
      <c r="F177" s="13">
        <f t="shared" si="8"/>
        <v>1130.3799999999974</v>
      </c>
      <c r="G177" s="41">
        <v>23336.1</v>
      </c>
      <c r="H177" s="13">
        <v>23336.1</v>
      </c>
    </row>
    <row r="178" spans="1:8" ht="51">
      <c r="A178" s="28" t="s">
        <v>12</v>
      </c>
      <c r="B178" s="7" t="s">
        <v>345</v>
      </c>
      <c r="C178" s="15" t="s">
        <v>13</v>
      </c>
      <c r="D178" s="41">
        <v>6752.9</v>
      </c>
      <c r="E178" s="41">
        <f>5407.22+1299</f>
        <v>6706.22</v>
      </c>
      <c r="F178" s="13">
        <f t="shared" si="8"/>
        <v>46.679999999999382</v>
      </c>
      <c r="G178" s="41">
        <v>6752.9</v>
      </c>
      <c r="H178" s="13">
        <v>6752.9</v>
      </c>
    </row>
    <row r="179" spans="1:8">
      <c r="A179" s="28" t="s">
        <v>29</v>
      </c>
      <c r="B179" s="7" t="s">
        <v>346</v>
      </c>
      <c r="C179" s="7"/>
      <c r="D179" s="41">
        <f>SUM(D180:D184)</f>
        <v>2242.9300000000003</v>
      </c>
      <c r="E179" s="41"/>
      <c r="F179" s="13">
        <f t="shared" si="8"/>
        <v>1692.1299999999999</v>
      </c>
      <c r="G179" s="41">
        <f>SUM(G180:G184)</f>
        <v>1692.1299999999999</v>
      </c>
      <c r="H179" s="13">
        <f>SUM(H180:H184)</f>
        <v>1692.1299999999999</v>
      </c>
    </row>
    <row r="180" spans="1:8" ht="25.5">
      <c r="A180" s="32" t="s">
        <v>15</v>
      </c>
      <c r="B180" s="7" t="s">
        <v>346</v>
      </c>
      <c r="C180" s="15" t="s">
        <v>16</v>
      </c>
      <c r="D180" s="41">
        <v>550.79999999999995</v>
      </c>
      <c r="E180" s="41"/>
      <c r="F180" s="13">
        <f t="shared" si="8"/>
        <v>0</v>
      </c>
      <c r="G180" s="41"/>
      <c r="H180" s="13"/>
    </row>
    <row r="181" spans="1:8" ht="25.5">
      <c r="A181" s="28" t="s">
        <v>19</v>
      </c>
      <c r="B181" s="7" t="s">
        <v>346</v>
      </c>
      <c r="C181" s="15" t="s">
        <v>20</v>
      </c>
      <c r="D181" s="41">
        <f>117.12+244+72.26+83.5+420+292.1</f>
        <v>1228.98</v>
      </c>
      <c r="E181" s="41"/>
      <c r="F181" s="13">
        <f t="shared" si="8"/>
        <v>1228.98</v>
      </c>
      <c r="G181" s="41">
        <f>117.12+244+72.26+83.5+420+292.1</f>
        <v>1228.98</v>
      </c>
      <c r="H181" s="13">
        <f>117.12+244+72.26+83.5+420+292.1</f>
        <v>1228.98</v>
      </c>
    </row>
    <row r="182" spans="1:8" ht="25.5">
      <c r="A182" s="28" t="s">
        <v>30</v>
      </c>
      <c r="B182" s="7" t="s">
        <v>346</v>
      </c>
      <c r="C182" s="15" t="s">
        <v>31</v>
      </c>
      <c r="D182" s="41">
        <f>451.56+5.29</f>
        <v>456.85</v>
      </c>
      <c r="E182" s="41"/>
      <c r="F182" s="13">
        <f t="shared" si="8"/>
        <v>456.85</v>
      </c>
      <c r="G182" s="41">
        <f>451.56+5.29</f>
        <v>456.85</v>
      </c>
      <c r="H182" s="13">
        <f>451.56+5.29</f>
        <v>456.85</v>
      </c>
    </row>
    <row r="183" spans="1:8">
      <c r="A183" s="28" t="s">
        <v>32</v>
      </c>
      <c r="B183" s="7" t="s">
        <v>346</v>
      </c>
      <c r="C183" s="15" t="s">
        <v>33</v>
      </c>
      <c r="D183" s="41">
        <f>5.8</f>
        <v>5.8</v>
      </c>
      <c r="E183" s="41"/>
      <c r="F183" s="13">
        <f t="shared" si="8"/>
        <v>5.8</v>
      </c>
      <c r="G183" s="41">
        <f>5.8</f>
        <v>5.8</v>
      </c>
      <c r="H183" s="13">
        <f>5.8</f>
        <v>5.8</v>
      </c>
    </row>
    <row r="184" spans="1:8" s="47" customFormat="1">
      <c r="A184" s="28" t="s">
        <v>21</v>
      </c>
      <c r="B184" s="7" t="s">
        <v>346</v>
      </c>
      <c r="C184" s="15" t="s">
        <v>22</v>
      </c>
      <c r="D184" s="41">
        <v>0.5</v>
      </c>
      <c r="E184" s="41"/>
      <c r="F184" s="13">
        <f t="shared" si="8"/>
        <v>0.5</v>
      </c>
      <c r="G184" s="41">
        <v>0.5</v>
      </c>
      <c r="H184" s="13">
        <v>0.5</v>
      </c>
    </row>
    <row r="185" spans="1:8" s="47" customFormat="1" ht="25.5">
      <c r="A185" s="14" t="s">
        <v>261</v>
      </c>
      <c r="B185" s="39" t="s">
        <v>347</v>
      </c>
      <c r="C185" s="40"/>
      <c r="D185" s="41">
        <f>D186</f>
        <v>2834.4</v>
      </c>
      <c r="E185" s="41"/>
      <c r="F185" s="13">
        <f t="shared" si="8"/>
        <v>2834.4</v>
      </c>
      <c r="G185" s="41">
        <f>G186</f>
        <v>2834.4</v>
      </c>
      <c r="H185" s="13">
        <f>H186</f>
        <v>2834.4</v>
      </c>
    </row>
    <row r="186" spans="1:8" ht="25.5">
      <c r="A186" s="14" t="s">
        <v>19</v>
      </c>
      <c r="B186" s="39" t="s">
        <v>347</v>
      </c>
      <c r="C186" s="15" t="s">
        <v>20</v>
      </c>
      <c r="D186" s="41">
        <v>2834.4</v>
      </c>
      <c r="E186" s="41"/>
      <c r="F186" s="13">
        <f t="shared" si="8"/>
        <v>2834.4</v>
      </c>
      <c r="G186" s="41">
        <v>2834.4</v>
      </c>
      <c r="H186" s="13">
        <v>2834.4</v>
      </c>
    </row>
    <row r="187" spans="1:8" ht="38.25">
      <c r="A187" s="14" t="s">
        <v>398</v>
      </c>
      <c r="B187" s="39" t="s">
        <v>399</v>
      </c>
      <c r="C187" s="15"/>
      <c r="D187" s="41">
        <f>D188</f>
        <v>1059.0899999999999</v>
      </c>
      <c r="E187" s="41"/>
      <c r="F187" s="13">
        <f t="shared" si="8"/>
        <v>1059.0899999999999</v>
      </c>
      <c r="G187" s="41">
        <f>G188</f>
        <v>1059.0899999999999</v>
      </c>
      <c r="H187" s="13">
        <f>H188</f>
        <v>1062.93</v>
      </c>
    </row>
    <row r="188" spans="1:8" ht="25.5">
      <c r="A188" s="14" t="s">
        <v>19</v>
      </c>
      <c r="B188" s="39" t="s">
        <v>399</v>
      </c>
      <c r="C188" s="15" t="s">
        <v>20</v>
      </c>
      <c r="D188" s="41">
        <f>1048.5+10.59</f>
        <v>1059.0899999999999</v>
      </c>
      <c r="E188" s="41"/>
      <c r="F188" s="13">
        <f t="shared" si="8"/>
        <v>1059.0899999999999</v>
      </c>
      <c r="G188" s="41">
        <f>1048.5+10.59</f>
        <v>1059.0899999999999</v>
      </c>
      <c r="H188" s="13">
        <f>1052.3+10.63</f>
        <v>1062.93</v>
      </c>
    </row>
    <row r="189" spans="1:8" ht="25.5">
      <c r="A189" s="30" t="s">
        <v>215</v>
      </c>
      <c r="B189" s="7" t="s">
        <v>348</v>
      </c>
      <c r="C189" s="7"/>
      <c r="D189" s="41">
        <f>D190+D199</f>
        <v>16119.310000000001</v>
      </c>
      <c r="E189" s="41">
        <f>E190</f>
        <v>13199.509999999998</v>
      </c>
      <c r="F189" s="13">
        <f t="shared" si="8"/>
        <v>3642.2000000000007</v>
      </c>
      <c r="G189" s="41">
        <f>G190+G199+G197</f>
        <v>16841.71</v>
      </c>
      <c r="H189" s="13">
        <f>H190+H199+H197</f>
        <v>16841.71</v>
      </c>
    </row>
    <row r="190" spans="1:8" ht="25.5">
      <c r="A190" s="28" t="s">
        <v>215</v>
      </c>
      <c r="B190" s="16" t="s">
        <v>348</v>
      </c>
      <c r="C190" s="15"/>
      <c r="D190" s="42">
        <f>D191</f>
        <v>15037.310000000001</v>
      </c>
      <c r="E190" s="42">
        <f>E191</f>
        <v>13199.509999999998</v>
      </c>
      <c r="F190" s="13">
        <f t="shared" si="8"/>
        <v>1645.2000000000025</v>
      </c>
      <c r="G190" s="42">
        <f>G191</f>
        <v>14844.710000000001</v>
      </c>
      <c r="H190" s="17">
        <f>H191</f>
        <v>14844.710000000001</v>
      </c>
    </row>
    <row r="191" spans="1:8" s="47" customFormat="1">
      <c r="A191" s="31" t="s">
        <v>34</v>
      </c>
      <c r="B191" s="7" t="s">
        <v>349</v>
      </c>
      <c r="C191" s="7"/>
      <c r="D191" s="41">
        <f>D192+D195</f>
        <v>15037.310000000001</v>
      </c>
      <c r="E191" s="41">
        <f>E192+E195</f>
        <v>13199.509999999998</v>
      </c>
      <c r="F191" s="13">
        <f t="shared" si="8"/>
        <v>1645.2000000000025</v>
      </c>
      <c r="G191" s="41">
        <f>G192+G195</f>
        <v>14844.710000000001</v>
      </c>
      <c r="H191" s="13">
        <f>H192+H195</f>
        <v>14844.710000000001</v>
      </c>
    </row>
    <row r="192" spans="1:8" ht="25.5">
      <c r="A192" s="28" t="s">
        <v>35</v>
      </c>
      <c r="B192" s="7" t="s">
        <v>350</v>
      </c>
      <c r="C192" s="7"/>
      <c r="D192" s="41">
        <f>SUM(D193:D194)</f>
        <v>13929.710000000001</v>
      </c>
      <c r="E192" s="41">
        <f>SUM(E193:E194)</f>
        <v>13199.509999999998</v>
      </c>
      <c r="F192" s="13">
        <f t="shared" si="8"/>
        <v>730.20000000000255</v>
      </c>
      <c r="G192" s="41">
        <f>SUM(G193:G194)</f>
        <v>13929.710000000001</v>
      </c>
      <c r="H192" s="13">
        <f>SUM(H193:H194)</f>
        <v>13929.710000000001</v>
      </c>
    </row>
    <row r="193" spans="1:8" ht="25.5">
      <c r="A193" s="28" t="s">
        <v>10</v>
      </c>
      <c r="B193" s="7" t="s">
        <v>350</v>
      </c>
      <c r="C193" s="15" t="s">
        <v>11</v>
      </c>
      <c r="D193" s="41">
        <v>10887.28</v>
      </c>
      <c r="E193" s="41">
        <f>8407.88+1730</f>
        <v>10137.879999999999</v>
      </c>
      <c r="F193" s="13">
        <f t="shared" si="8"/>
        <v>749.40000000000146</v>
      </c>
      <c r="G193" s="41">
        <v>10887.28</v>
      </c>
      <c r="H193" s="13">
        <v>10887.28</v>
      </c>
    </row>
    <row r="194" spans="1:8" ht="51">
      <c r="A194" s="28" t="s">
        <v>12</v>
      </c>
      <c r="B194" s="7" t="s">
        <v>350</v>
      </c>
      <c r="C194" s="15" t="s">
        <v>13</v>
      </c>
      <c r="D194" s="41">
        <v>3042.43</v>
      </c>
      <c r="E194" s="41">
        <f>2539.17+522.46</f>
        <v>3061.63</v>
      </c>
      <c r="F194" s="13">
        <f t="shared" si="8"/>
        <v>-19.200000000000273</v>
      </c>
      <c r="G194" s="41">
        <v>3042.43</v>
      </c>
      <c r="H194" s="13">
        <v>3042.43</v>
      </c>
    </row>
    <row r="195" spans="1:8">
      <c r="A195" s="28" t="s">
        <v>263</v>
      </c>
      <c r="B195" s="7" t="s">
        <v>351</v>
      </c>
      <c r="C195" s="7"/>
      <c r="D195" s="41">
        <f>SUM(D196:D197)</f>
        <v>1107.5999999999999</v>
      </c>
      <c r="E195" s="41">
        <f>SUM(E196:E197)</f>
        <v>0</v>
      </c>
      <c r="F195" s="13">
        <f t="shared" si="8"/>
        <v>915</v>
      </c>
      <c r="G195" s="41">
        <f>SUM(G196:G197)</f>
        <v>915</v>
      </c>
      <c r="H195" s="13">
        <f>SUM(H196:H197)</f>
        <v>915</v>
      </c>
    </row>
    <row r="196" spans="1:8" ht="25.5">
      <c r="A196" s="32" t="s">
        <v>15</v>
      </c>
      <c r="B196" s="7" t="s">
        <v>351</v>
      </c>
      <c r="C196" s="15" t="s">
        <v>16</v>
      </c>
      <c r="D196" s="41">
        <v>192.6</v>
      </c>
      <c r="E196" s="41"/>
      <c r="F196" s="13">
        <f t="shared" si="8"/>
        <v>0</v>
      </c>
      <c r="G196" s="41"/>
      <c r="H196" s="13"/>
    </row>
    <row r="197" spans="1:8" s="47" customFormat="1" ht="25.5">
      <c r="A197" s="28" t="s">
        <v>19</v>
      </c>
      <c r="B197" s="7" t="s">
        <v>351</v>
      </c>
      <c r="C197" s="15" t="s">
        <v>20</v>
      </c>
      <c r="D197" s="41">
        <f>500+316.4+55+43.6</f>
        <v>915</v>
      </c>
      <c r="E197" s="41"/>
      <c r="F197" s="13">
        <f t="shared" si="8"/>
        <v>915</v>
      </c>
      <c r="G197" s="41">
        <f>500+316.4+55+43.6</f>
        <v>915</v>
      </c>
      <c r="H197" s="13">
        <f>500+316.4+55+43.6</f>
        <v>915</v>
      </c>
    </row>
    <row r="198" spans="1:8" s="47" customFormat="1">
      <c r="A198" s="28" t="s">
        <v>216</v>
      </c>
      <c r="B198" s="16" t="s">
        <v>364</v>
      </c>
      <c r="C198" s="15"/>
      <c r="D198" s="42">
        <f>SUBTOTAL(9,D199:D202)</f>
        <v>1522.6000000000001</v>
      </c>
      <c r="E198" s="42">
        <f>SUBTOTAL(9,E199:E201)</f>
        <v>1382.1</v>
      </c>
      <c r="F198" s="13">
        <f t="shared" si="8"/>
        <v>51.500000000000227</v>
      </c>
      <c r="G198" s="42">
        <f>SUBTOTAL(9,G199:G202)</f>
        <v>1433.6000000000001</v>
      </c>
      <c r="H198" s="17">
        <f>SUBTOTAL(9,H199:H202)</f>
        <v>1433.6000000000001</v>
      </c>
    </row>
    <row r="199" spans="1:8" s="47" customFormat="1" ht="38.25">
      <c r="A199" s="28" t="s">
        <v>104</v>
      </c>
      <c r="B199" s="16" t="s">
        <v>364</v>
      </c>
      <c r="C199" s="4" t="s">
        <v>42</v>
      </c>
      <c r="D199" s="42">
        <v>1082</v>
      </c>
      <c r="E199" s="42">
        <v>1061.5</v>
      </c>
      <c r="F199" s="13">
        <f t="shared" si="8"/>
        <v>20.5</v>
      </c>
      <c r="G199" s="42">
        <v>1082</v>
      </c>
      <c r="H199" s="17">
        <v>1082</v>
      </c>
    </row>
    <row r="200" spans="1:8" ht="38.25">
      <c r="A200" s="28" t="s">
        <v>46</v>
      </c>
      <c r="B200" s="16" t="s">
        <v>364</v>
      </c>
      <c r="C200" s="15" t="s">
        <v>47</v>
      </c>
      <c r="D200" s="42">
        <v>3</v>
      </c>
      <c r="E200" s="42"/>
      <c r="F200" s="13">
        <f t="shared" si="8"/>
        <v>3</v>
      </c>
      <c r="G200" s="42">
        <v>3</v>
      </c>
      <c r="H200" s="17">
        <v>3</v>
      </c>
    </row>
    <row r="201" spans="1:8" ht="51">
      <c r="A201" s="28" t="s">
        <v>43</v>
      </c>
      <c r="B201" s="16" t="s">
        <v>364</v>
      </c>
      <c r="C201" s="15" t="s">
        <v>44</v>
      </c>
      <c r="D201" s="42">
        <v>326.89999999999998</v>
      </c>
      <c r="E201" s="42">
        <v>320.60000000000002</v>
      </c>
      <c r="F201" s="13">
        <f t="shared" si="8"/>
        <v>6.2999999999999545</v>
      </c>
      <c r="G201" s="42">
        <v>326.89999999999998</v>
      </c>
      <c r="H201" s="17">
        <v>326.89999999999998</v>
      </c>
    </row>
    <row r="202" spans="1:8" ht="25.5">
      <c r="A202" s="28" t="s">
        <v>19</v>
      </c>
      <c r="B202" s="16" t="s">
        <v>364</v>
      </c>
      <c r="C202" s="15" t="s">
        <v>20</v>
      </c>
      <c r="D202" s="42">
        <v>110.7</v>
      </c>
      <c r="E202" s="42"/>
      <c r="F202" s="13">
        <f t="shared" si="8"/>
        <v>21.700000000000003</v>
      </c>
      <c r="G202" s="42">
        <f>110.7-89</f>
        <v>21.700000000000003</v>
      </c>
      <c r="H202" s="17">
        <f>110.7-89</f>
        <v>21.700000000000003</v>
      </c>
    </row>
    <row r="203" spans="1:8" ht="25.5">
      <c r="A203" s="28" t="s">
        <v>466</v>
      </c>
      <c r="B203" s="7" t="s">
        <v>465</v>
      </c>
      <c r="C203" s="15"/>
      <c r="D203" s="41"/>
      <c r="E203" s="41"/>
      <c r="F203" s="13">
        <f t="shared" si="8"/>
        <v>0.4</v>
      </c>
      <c r="G203" s="41">
        <f>G204</f>
        <v>0.4</v>
      </c>
      <c r="H203" s="13">
        <f>H204</f>
        <v>0.4</v>
      </c>
    </row>
    <row r="204" spans="1:8" ht="25.5">
      <c r="A204" s="28" t="s">
        <v>19</v>
      </c>
      <c r="B204" s="7" t="s">
        <v>465</v>
      </c>
      <c r="C204" s="15" t="s">
        <v>20</v>
      </c>
      <c r="D204" s="41"/>
      <c r="E204" s="41"/>
      <c r="F204" s="13">
        <f t="shared" si="8"/>
        <v>0.4</v>
      </c>
      <c r="G204" s="41">
        <f>0.4</f>
        <v>0.4</v>
      </c>
      <c r="H204" s="13">
        <f>0.4</f>
        <v>0.4</v>
      </c>
    </row>
    <row r="205" spans="1:8" ht="89.25">
      <c r="A205" s="28" t="s">
        <v>400</v>
      </c>
      <c r="B205" s="7" t="s">
        <v>401</v>
      </c>
      <c r="C205" s="15"/>
      <c r="D205" s="41">
        <f>D206</f>
        <v>155.6</v>
      </c>
      <c r="E205" s="41"/>
      <c r="F205" s="13">
        <f t="shared" si="8"/>
        <v>13.13</v>
      </c>
      <c r="G205" s="41">
        <f>G206</f>
        <v>13.13</v>
      </c>
      <c r="H205" s="13">
        <f>H206</f>
        <v>13.13</v>
      </c>
    </row>
    <row r="206" spans="1:8" ht="25.5">
      <c r="A206" s="28" t="s">
        <v>19</v>
      </c>
      <c r="B206" s="7" t="s">
        <v>401</v>
      </c>
      <c r="C206" s="15" t="s">
        <v>20</v>
      </c>
      <c r="D206" s="41">
        <f>154+1.6</f>
        <v>155.6</v>
      </c>
      <c r="E206" s="41"/>
      <c r="F206" s="13">
        <f t="shared" si="8"/>
        <v>13.13</v>
      </c>
      <c r="G206" s="41">
        <f>13+0.13</f>
        <v>13.13</v>
      </c>
      <c r="H206" s="13">
        <f>13+0.13</f>
        <v>13.13</v>
      </c>
    </row>
    <row r="207" spans="1:8" ht="25.5">
      <c r="A207" s="30" t="s">
        <v>36</v>
      </c>
      <c r="B207" s="7" t="s">
        <v>378</v>
      </c>
      <c r="C207" s="7"/>
      <c r="D207" s="41">
        <f>D208</f>
        <v>3099.38</v>
      </c>
      <c r="E207" s="41">
        <f>E208</f>
        <v>2688.01</v>
      </c>
      <c r="F207" s="13">
        <f t="shared" si="8"/>
        <v>396.36999999999989</v>
      </c>
      <c r="G207" s="41">
        <f>G208</f>
        <v>3084.38</v>
      </c>
      <c r="H207" s="13">
        <f>H208</f>
        <v>3084.38</v>
      </c>
    </row>
    <row r="208" spans="1:8" ht="25.5">
      <c r="A208" s="31" t="s">
        <v>231</v>
      </c>
      <c r="B208" s="7" t="s">
        <v>379</v>
      </c>
      <c r="C208" s="7"/>
      <c r="D208" s="41">
        <f>D209+D212</f>
        <v>3099.38</v>
      </c>
      <c r="E208" s="41">
        <f>E209+E212</f>
        <v>2688.01</v>
      </c>
      <c r="F208" s="13">
        <f t="shared" si="8"/>
        <v>396.36999999999989</v>
      </c>
      <c r="G208" s="41">
        <f>G209+G212</f>
        <v>3084.38</v>
      </c>
      <c r="H208" s="13">
        <f>H209+H212</f>
        <v>3084.38</v>
      </c>
    </row>
    <row r="209" spans="1:8" ht="25.5">
      <c r="A209" s="28" t="s">
        <v>397</v>
      </c>
      <c r="B209" s="7" t="s">
        <v>380</v>
      </c>
      <c r="C209" s="7"/>
      <c r="D209" s="41">
        <f>SUM(D210:D211)</f>
        <v>3033.8</v>
      </c>
      <c r="E209" s="41">
        <f>SUM(E210:E211)</f>
        <v>2688.01</v>
      </c>
      <c r="F209" s="13">
        <f t="shared" si="8"/>
        <v>345.78999999999996</v>
      </c>
      <c r="G209" s="41">
        <f>SUM(G210:G211)</f>
        <v>3033.8</v>
      </c>
      <c r="H209" s="13">
        <f>SUM(H210:H211)</f>
        <v>3033.8</v>
      </c>
    </row>
    <row r="210" spans="1:8" s="47" customFormat="1" ht="25.5">
      <c r="A210" s="28" t="s">
        <v>10</v>
      </c>
      <c r="B210" s="7" t="s">
        <v>380</v>
      </c>
      <c r="C210" s="15" t="s">
        <v>11</v>
      </c>
      <c r="D210" s="41">
        <f>2521.4-153.6</f>
        <v>2367.8000000000002</v>
      </c>
      <c r="E210" s="41">
        <v>2064.5300000000002</v>
      </c>
      <c r="F210" s="13">
        <f t="shared" si="8"/>
        <v>303.27</v>
      </c>
      <c r="G210" s="41">
        <f>2521.4-153.6</f>
        <v>2367.8000000000002</v>
      </c>
      <c r="H210" s="13">
        <f>2521.4-153.6</f>
        <v>2367.8000000000002</v>
      </c>
    </row>
    <row r="211" spans="1:8" s="47" customFormat="1" ht="51">
      <c r="A211" s="28" t="s">
        <v>12</v>
      </c>
      <c r="B211" s="7" t="s">
        <v>380</v>
      </c>
      <c r="C211" s="15" t="s">
        <v>13</v>
      </c>
      <c r="D211" s="41">
        <f>712.4-46.4</f>
        <v>666</v>
      </c>
      <c r="E211" s="41">
        <v>623.48</v>
      </c>
      <c r="F211" s="13">
        <f t="shared" si="8"/>
        <v>42.519999999999982</v>
      </c>
      <c r="G211" s="41">
        <f>712.4-46.4</f>
        <v>666</v>
      </c>
      <c r="H211" s="13">
        <f>712.4-46.4</f>
        <v>666</v>
      </c>
    </row>
    <row r="212" spans="1:8" s="53" customFormat="1" ht="25.5">
      <c r="A212" s="28" t="s">
        <v>37</v>
      </c>
      <c r="B212" s="7" t="s">
        <v>381</v>
      </c>
      <c r="C212" s="7"/>
      <c r="D212" s="41">
        <f>SUM(D213:D215)</f>
        <v>65.58</v>
      </c>
      <c r="E212" s="41">
        <f>SUM(E213:E215)</f>
        <v>0</v>
      </c>
      <c r="F212" s="13">
        <f t="shared" si="8"/>
        <v>50.58</v>
      </c>
      <c r="G212" s="41">
        <f>SUM(G213:G215)</f>
        <v>50.58</v>
      </c>
      <c r="H212" s="13">
        <f>SUM(H213:H215)</f>
        <v>50.58</v>
      </c>
    </row>
    <row r="213" spans="1:8" ht="25.5">
      <c r="A213" s="32" t="s">
        <v>15</v>
      </c>
      <c r="B213" s="7" t="s">
        <v>381</v>
      </c>
      <c r="C213" s="15" t="s">
        <v>16</v>
      </c>
      <c r="D213" s="41">
        <v>15</v>
      </c>
      <c r="E213" s="41"/>
      <c r="F213" s="13">
        <f t="shared" si="8"/>
        <v>0</v>
      </c>
      <c r="G213" s="41"/>
      <c r="H213" s="13"/>
    </row>
    <row r="214" spans="1:8" ht="25.5">
      <c r="A214" s="28" t="s">
        <v>19</v>
      </c>
      <c r="B214" s="7" t="s">
        <v>381</v>
      </c>
      <c r="C214" s="15" t="s">
        <v>20</v>
      </c>
      <c r="D214" s="41">
        <f>39.48+5.1+6</f>
        <v>50.58</v>
      </c>
      <c r="E214" s="41"/>
      <c r="F214" s="13">
        <f t="shared" si="8"/>
        <v>50.58</v>
      </c>
      <c r="G214" s="41">
        <f>39.48+5.1+6</f>
        <v>50.58</v>
      </c>
      <c r="H214" s="13">
        <f>39.48+5.1+6</f>
        <v>50.58</v>
      </c>
    </row>
    <row r="215" spans="1:8">
      <c r="A215" s="28" t="s">
        <v>21</v>
      </c>
      <c r="B215" s="7" t="s">
        <v>381</v>
      </c>
      <c r="C215" s="15" t="s">
        <v>22</v>
      </c>
      <c r="D215" s="41"/>
      <c r="E215" s="41"/>
      <c r="F215" s="13">
        <f t="shared" si="8"/>
        <v>0</v>
      </c>
      <c r="G215" s="41"/>
      <c r="H215" s="13"/>
    </row>
    <row r="216" spans="1:8" ht="25.5">
      <c r="A216" s="30" t="s">
        <v>423</v>
      </c>
      <c r="B216" s="16" t="s">
        <v>424</v>
      </c>
      <c r="C216" s="4"/>
      <c r="D216" s="42">
        <f t="shared" ref="D216:E218" si="9">D217</f>
        <v>37214.239999999998</v>
      </c>
      <c r="E216" s="42">
        <f t="shared" si="9"/>
        <v>0</v>
      </c>
      <c r="F216" s="13">
        <f t="shared" si="8"/>
        <v>29738.100000000002</v>
      </c>
      <c r="G216" s="42">
        <f t="shared" ref="G216:H218" si="10">G217</f>
        <v>29738.100000000002</v>
      </c>
      <c r="H216" s="17">
        <f t="shared" si="10"/>
        <v>0</v>
      </c>
    </row>
    <row r="217" spans="1:8" s="47" customFormat="1">
      <c r="A217" s="36" t="s">
        <v>426</v>
      </c>
      <c r="B217" s="16" t="s">
        <v>427</v>
      </c>
      <c r="C217" s="4"/>
      <c r="D217" s="42">
        <f t="shared" si="9"/>
        <v>37214.239999999998</v>
      </c>
      <c r="E217" s="42">
        <f t="shared" si="9"/>
        <v>0</v>
      </c>
      <c r="F217" s="13">
        <f t="shared" si="8"/>
        <v>29738.100000000002</v>
      </c>
      <c r="G217" s="42">
        <f t="shared" si="10"/>
        <v>29738.100000000002</v>
      </c>
      <c r="H217" s="17">
        <f t="shared" si="10"/>
        <v>0</v>
      </c>
    </row>
    <row r="218" spans="1:8" s="47" customFormat="1" ht="38.25">
      <c r="A218" s="28" t="s">
        <v>425</v>
      </c>
      <c r="B218" s="16" t="s">
        <v>422</v>
      </c>
      <c r="C218" s="4"/>
      <c r="D218" s="42">
        <f t="shared" si="9"/>
        <v>37214.239999999998</v>
      </c>
      <c r="E218" s="42">
        <f t="shared" si="9"/>
        <v>0</v>
      </c>
      <c r="F218" s="13">
        <f t="shared" si="8"/>
        <v>29738.100000000002</v>
      </c>
      <c r="G218" s="42">
        <f t="shared" si="10"/>
        <v>29738.100000000002</v>
      </c>
      <c r="H218" s="17">
        <f t="shared" si="10"/>
        <v>0</v>
      </c>
    </row>
    <row r="219" spans="1:8" s="47" customFormat="1" ht="38.25">
      <c r="A219" s="28" t="s">
        <v>180</v>
      </c>
      <c r="B219" s="16" t="s">
        <v>422</v>
      </c>
      <c r="C219" s="4" t="s">
        <v>181</v>
      </c>
      <c r="D219" s="42">
        <f>36842.1+372.14</f>
        <v>37214.239999999998</v>
      </c>
      <c r="E219" s="42"/>
      <c r="F219" s="13">
        <f t="shared" si="8"/>
        <v>29738.100000000002</v>
      </c>
      <c r="G219" s="42">
        <f>29440.7+297.4</f>
        <v>29738.100000000002</v>
      </c>
      <c r="H219" s="17"/>
    </row>
    <row r="220" spans="1:8" ht="25.5">
      <c r="A220" s="30" t="s">
        <v>296</v>
      </c>
      <c r="B220" s="20" t="s">
        <v>265</v>
      </c>
      <c r="C220" s="19"/>
      <c r="D220" s="42" t="e">
        <f>#REF!</f>
        <v>#REF!</v>
      </c>
      <c r="E220" s="42"/>
      <c r="F220" s="13">
        <v>1672.3</v>
      </c>
      <c r="G220" s="42">
        <v>1672.3</v>
      </c>
      <c r="H220" s="17">
        <v>1672.3</v>
      </c>
    </row>
    <row r="221" spans="1:8" ht="25.5">
      <c r="A221" s="30" t="s">
        <v>115</v>
      </c>
      <c r="B221" s="15" t="s">
        <v>355</v>
      </c>
      <c r="C221" s="25"/>
      <c r="D221" s="45">
        <f>D222</f>
        <v>1672.3</v>
      </c>
      <c r="E221" s="45"/>
      <c r="F221" s="13">
        <f t="shared" ref="F221:F227" si="11">G221-E221</f>
        <v>1672.3</v>
      </c>
      <c r="G221" s="45">
        <f>G222</f>
        <v>1672.3</v>
      </c>
      <c r="H221" s="24">
        <f>H222</f>
        <v>1672.3</v>
      </c>
    </row>
    <row r="222" spans="1:8">
      <c r="A222" s="28" t="s">
        <v>232</v>
      </c>
      <c r="B222" s="15" t="s">
        <v>382</v>
      </c>
      <c r="C222" s="15"/>
      <c r="D222" s="42">
        <f>D223</f>
        <v>1672.3</v>
      </c>
      <c r="E222" s="42">
        <f>E223</f>
        <v>808.80000000000007</v>
      </c>
      <c r="F222" s="13">
        <f t="shared" si="11"/>
        <v>863.49999999999989</v>
      </c>
      <c r="G222" s="42">
        <f>G223</f>
        <v>1672.3</v>
      </c>
      <c r="H222" s="17">
        <f>H223</f>
        <v>1672.3</v>
      </c>
    </row>
    <row r="223" spans="1:8">
      <c r="A223" s="28" t="s">
        <v>233</v>
      </c>
      <c r="B223" s="15" t="s">
        <v>382</v>
      </c>
      <c r="C223" s="15" t="s">
        <v>234</v>
      </c>
      <c r="D223" s="42">
        <v>1672.3</v>
      </c>
      <c r="E223" s="42">
        <f>67.4*12</f>
        <v>808.80000000000007</v>
      </c>
      <c r="F223" s="13">
        <f t="shared" si="11"/>
        <v>863.49999999999989</v>
      </c>
      <c r="G223" s="42">
        <v>1672.3</v>
      </c>
      <c r="H223" s="17">
        <v>1672.3</v>
      </c>
    </row>
    <row r="224" spans="1:8" ht="25.5">
      <c r="A224" s="28" t="s">
        <v>239</v>
      </c>
      <c r="B224" s="15" t="s">
        <v>385</v>
      </c>
      <c r="C224" s="15"/>
      <c r="D224" s="42">
        <f>D225</f>
        <v>500</v>
      </c>
      <c r="E224" s="42">
        <f>E225</f>
        <v>0</v>
      </c>
      <c r="F224" s="13">
        <f t="shared" si="11"/>
        <v>500</v>
      </c>
      <c r="G224" s="42">
        <f>G225</f>
        <v>500</v>
      </c>
      <c r="H224" s="17">
        <f>H225</f>
        <v>500</v>
      </c>
    </row>
    <row r="225" spans="1:8" ht="38.25">
      <c r="A225" s="28" t="s">
        <v>96</v>
      </c>
      <c r="B225" s="15" t="s">
        <v>385</v>
      </c>
      <c r="C225" s="15" t="s">
        <v>97</v>
      </c>
      <c r="D225" s="42">
        <v>500</v>
      </c>
      <c r="E225" s="42"/>
      <c r="F225" s="13">
        <f t="shared" si="11"/>
        <v>500</v>
      </c>
      <c r="G225" s="42">
        <v>500</v>
      </c>
      <c r="H225" s="17">
        <v>500</v>
      </c>
    </row>
    <row r="226" spans="1:8" ht="76.5">
      <c r="A226" s="28" t="s">
        <v>116</v>
      </c>
      <c r="B226" s="15" t="s">
        <v>356</v>
      </c>
      <c r="C226" s="15"/>
      <c r="D226" s="42">
        <f>D227</f>
        <v>5299.7</v>
      </c>
      <c r="E226" s="42">
        <f>E227</f>
        <v>5266.8</v>
      </c>
      <c r="F226" s="13">
        <f t="shared" si="11"/>
        <v>32.899999999999636</v>
      </c>
      <c r="G226" s="42">
        <f>G227</f>
        <v>5299.7</v>
      </c>
      <c r="H226" s="17">
        <f>H227</f>
        <v>5299.7</v>
      </c>
    </row>
    <row r="227" spans="1:8" s="47" customFormat="1" ht="38.25">
      <c r="A227" s="28" t="s">
        <v>96</v>
      </c>
      <c r="B227" s="15" t="s">
        <v>356</v>
      </c>
      <c r="C227" s="15" t="s">
        <v>97</v>
      </c>
      <c r="D227" s="42">
        <v>5299.7</v>
      </c>
      <c r="E227" s="42">
        <v>5266.8</v>
      </c>
      <c r="F227" s="13">
        <f t="shared" si="11"/>
        <v>32.899999999999636</v>
      </c>
      <c r="G227" s="42">
        <v>5299.7</v>
      </c>
      <c r="H227" s="17">
        <v>5299.7</v>
      </c>
    </row>
    <row r="228" spans="1:8" ht="25.5">
      <c r="A228" s="28" t="s">
        <v>199</v>
      </c>
      <c r="B228" s="15" t="s">
        <v>354</v>
      </c>
      <c r="C228" s="4"/>
      <c r="D228" s="42" t="e">
        <f>#REF!</f>
        <v>#REF!</v>
      </c>
      <c r="E228" s="42" t="e">
        <f>#REF!</f>
        <v>#REF!</v>
      </c>
      <c r="F228" s="13">
        <v>-79.5</v>
      </c>
      <c r="G228" s="42">
        <v>103.1</v>
      </c>
      <c r="H228" s="17">
        <v>103.1</v>
      </c>
    </row>
    <row r="229" spans="1:8" ht="51">
      <c r="A229" s="28" t="s">
        <v>200</v>
      </c>
      <c r="B229" s="15" t="s">
        <v>357</v>
      </c>
      <c r="C229" s="15"/>
      <c r="D229" s="42">
        <f>SUM(D230:D230)</f>
        <v>60</v>
      </c>
      <c r="E229" s="42">
        <f>SUM(E230:E230)</f>
        <v>60.3</v>
      </c>
      <c r="F229" s="13">
        <f t="shared" ref="F229:F238" si="12">G229-E229</f>
        <v>42.8</v>
      </c>
      <c r="G229" s="42">
        <f>SUM(G230:G230)</f>
        <v>103.1</v>
      </c>
      <c r="H229" s="17">
        <f>SUM(H230:H230)</f>
        <v>103.1</v>
      </c>
    </row>
    <row r="230" spans="1:8" ht="25.5">
      <c r="A230" s="28" t="s">
        <v>19</v>
      </c>
      <c r="B230" s="15" t="s">
        <v>357</v>
      </c>
      <c r="C230" s="15" t="s">
        <v>20</v>
      </c>
      <c r="D230" s="42">
        <v>60</v>
      </c>
      <c r="E230" s="42">
        <v>60.3</v>
      </c>
      <c r="F230" s="13">
        <f t="shared" si="12"/>
        <v>42.8</v>
      </c>
      <c r="G230" s="42">
        <v>103.1</v>
      </c>
      <c r="H230" s="17">
        <v>103.1</v>
      </c>
    </row>
    <row r="231" spans="1:8" s="47" customFormat="1" ht="51">
      <c r="A231" s="28" t="s">
        <v>235</v>
      </c>
      <c r="B231" s="15" t="s">
        <v>383</v>
      </c>
      <c r="C231" s="15"/>
      <c r="D231" s="17">
        <f>D232</f>
        <v>0</v>
      </c>
      <c r="E231" s="42">
        <f>E232</f>
        <v>122.3</v>
      </c>
      <c r="F231" s="13">
        <f t="shared" si="12"/>
        <v>-122.3</v>
      </c>
      <c r="G231" s="17">
        <f>G232</f>
        <v>0</v>
      </c>
      <c r="H231" s="17">
        <f>H232</f>
        <v>0</v>
      </c>
    </row>
    <row r="232" spans="1:8" s="47" customFormat="1" ht="25.5">
      <c r="A232" s="28" t="s">
        <v>236</v>
      </c>
      <c r="B232" s="15" t="s">
        <v>383</v>
      </c>
      <c r="C232" s="15" t="s">
        <v>237</v>
      </c>
      <c r="D232" s="17"/>
      <c r="E232" s="17">
        <v>122.3</v>
      </c>
      <c r="F232" s="13">
        <f t="shared" si="12"/>
        <v>-122.3</v>
      </c>
      <c r="G232" s="17"/>
      <c r="H232" s="17"/>
    </row>
    <row r="233" spans="1:8" s="47" customFormat="1" ht="63.75">
      <c r="A233" s="28" t="s">
        <v>238</v>
      </c>
      <c r="B233" s="15" t="s">
        <v>384</v>
      </c>
      <c r="C233" s="15"/>
      <c r="D233" s="42">
        <f>D234</f>
        <v>0</v>
      </c>
      <c r="E233" s="42">
        <f>E234</f>
        <v>89.3</v>
      </c>
      <c r="F233" s="13">
        <f t="shared" si="12"/>
        <v>-89.3</v>
      </c>
      <c r="G233" s="42">
        <f>G234</f>
        <v>0</v>
      </c>
      <c r="H233" s="17">
        <f>H234</f>
        <v>0</v>
      </c>
    </row>
    <row r="234" spans="1:8" s="47" customFormat="1" ht="25.5">
      <c r="A234" s="28" t="s">
        <v>236</v>
      </c>
      <c r="B234" s="15" t="s">
        <v>384</v>
      </c>
      <c r="C234" s="15" t="s">
        <v>237</v>
      </c>
      <c r="D234" s="42"/>
      <c r="E234" s="42">
        <v>89.3</v>
      </c>
      <c r="F234" s="13">
        <f t="shared" si="12"/>
        <v>-89.3</v>
      </c>
      <c r="G234" s="42"/>
      <c r="H234" s="17"/>
    </row>
    <row r="235" spans="1:8" s="47" customFormat="1" ht="25.5">
      <c r="A235" s="28" t="s">
        <v>402</v>
      </c>
      <c r="B235" s="20" t="s">
        <v>403</v>
      </c>
      <c r="C235" s="20"/>
      <c r="D235" s="42">
        <f>D236</f>
        <v>688.5</v>
      </c>
      <c r="E235" s="42">
        <f>E236</f>
        <v>0</v>
      </c>
      <c r="F235" s="13">
        <f t="shared" si="12"/>
        <v>555.20000000000005</v>
      </c>
      <c r="G235" s="42">
        <f>G236</f>
        <v>555.20000000000005</v>
      </c>
      <c r="H235" s="17">
        <f>H236</f>
        <v>521.1</v>
      </c>
    </row>
    <row r="236" spans="1:8">
      <c r="A236" s="35" t="s">
        <v>113</v>
      </c>
      <c r="B236" s="20" t="s">
        <v>403</v>
      </c>
      <c r="C236" s="20" t="s">
        <v>114</v>
      </c>
      <c r="D236" s="42">
        <f>588.5+100</f>
        <v>688.5</v>
      </c>
      <c r="E236" s="42"/>
      <c r="F236" s="13">
        <f t="shared" si="12"/>
        <v>555.20000000000005</v>
      </c>
      <c r="G236" s="42">
        <f>455.2+100</f>
        <v>555.20000000000005</v>
      </c>
      <c r="H236" s="17">
        <f>421.1+100</f>
        <v>521.1</v>
      </c>
    </row>
    <row r="237" spans="1:8" ht="51">
      <c r="A237" s="28" t="s">
        <v>412</v>
      </c>
      <c r="B237" s="15" t="s">
        <v>411</v>
      </c>
      <c r="C237" s="23"/>
      <c r="D237" s="45">
        <f>D238</f>
        <v>142.6</v>
      </c>
      <c r="E237" s="45">
        <f>E238</f>
        <v>7977.3</v>
      </c>
      <c r="F237" s="13">
        <f t="shared" si="12"/>
        <v>-5553.57</v>
      </c>
      <c r="G237" s="45">
        <f>G238</f>
        <v>2423.73</v>
      </c>
      <c r="H237" s="24">
        <f>H238</f>
        <v>11340.61</v>
      </c>
    </row>
    <row r="238" spans="1:8">
      <c r="A238" s="35" t="s">
        <v>113</v>
      </c>
      <c r="B238" s="15" t="s">
        <v>411</v>
      </c>
      <c r="C238" s="25">
        <v>322</v>
      </c>
      <c r="D238" s="45">
        <f>141.2+1.4</f>
        <v>142.6</v>
      </c>
      <c r="E238" s="45">
        <v>7977.3</v>
      </c>
      <c r="F238" s="13">
        <f t="shared" si="12"/>
        <v>-5553.57</v>
      </c>
      <c r="G238" s="45">
        <f>2399.5+24.23</f>
        <v>2423.73</v>
      </c>
      <c r="H238" s="24">
        <f>11227.2+113.41</f>
        <v>11340.61</v>
      </c>
    </row>
    <row r="239" spans="1:8" s="47" customFormat="1" ht="25.5">
      <c r="A239" s="30" t="s">
        <v>264</v>
      </c>
      <c r="B239" s="7" t="s">
        <v>278</v>
      </c>
      <c r="C239" s="7"/>
      <c r="D239" s="41" t="e">
        <f>#REF!</f>
        <v>#REF!</v>
      </c>
      <c r="E239" s="41" t="e">
        <f>#REF!</f>
        <v>#REF!</v>
      </c>
      <c r="F239" s="13">
        <v>1528.1999999999998</v>
      </c>
      <c r="G239" s="41">
        <v>1528.1999999999998</v>
      </c>
      <c r="H239" s="13">
        <v>1528.1999999999998</v>
      </c>
    </row>
    <row r="240" spans="1:8" ht="38.25">
      <c r="A240" s="46" t="s">
        <v>38</v>
      </c>
      <c r="B240" s="39" t="s">
        <v>279</v>
      </c>
      <c r="C240" s="7"/>
      <c r="D240" s="42"/>
      <c r="E240" s="42">
        <f>E241</f>
        <v>2343.9</v>
      </c>
      <c r="F240" s="13">
        <v>-815.70000000000027</v>
      </c>
      <c r="G240" s="42">
        <v>1528.1999999999998</v>
      </c>
      <c r="H240" s="17">
        <v>1528.1999999999998</v>
      </c>
    </row>
    <row r="241" spans="1:8" ht="51">
      <c r="A241" s="28" t="s">
        <v>39</v>
      </c>
      <c r="B241" s="16" t="s">
        <v>280</v>
      </c>
      <c r="C241" s="15"/>
      <c r="D241" s="41">
        <f>D242+D245</f>
        <v>1549.1999999999998</v>
      </c>
      <c r="E241" s="41">
        <f>E242+E245</f>
        <v>2343.9</v>
      </c>
      <c r="F241" s="13">
        <f t="shared" ref="F241:F272" si="13">G241-E241</f>
        <v>-815.70000000000027</v>
      </c>
      <c r="G241" s="41">
        <f>G242+G245</f>
        <v>1528.1999999999998</v>
      </c>
      <c r="H241" s="13">
        <f>H242+H245</f>
        <v>1528.1999999999998</v>
      </c>
    </row>
    <row r="242" spans="1:8" ht="25.5">
      <c r="A242" s="28" t="s">
        <v>40</v>
      </c>
      <c r="B242" s="16" t="s">
        <v>281</v>
      </c>
      <c r="C242" s="15"/>
      <c r="D242" s="41">
        <f>SUM(D243:D244)</f>
        <v>1524.1</v>
      </c>
      <c r="E242" s="41">
        <f>SUM(E243:E244)</f>
        <v>2343.9</v>
      </c>
      <c r="F242" s="13">
        <f t="shared" si="13"/>
        <v>-819.80000000000018</v>
      </c>
      <c r="G242" s="41">
        <f>SUM(G243:G244)</f>
        <v>1524.1</v>
      </c>
      <c r="H242" s="13">
        <f>SUM(H243:H244)</f>
        <v>1524.1</v>
      </c>
    </row>
    <row r="243" spans="1:8" ht="25.5">
      <c r="A243" s="28" t="s">
        <v>41</v>
      </c>
      <c r="B243" s="16" t="s">
        <v>281</v>
      </c>
      <c r="C243" s="15" t="s">
        <v>42</v>
      </c>
      <c r="D243" s="41">
        <f>1358.8-150.5</f>
        <v>1208.3</v>
      </c>
      <c r="E243" s="41">
        <v>1800.2</v>
      </c>
      <c r="F243" s="13">
        <f t="shared" si="13"/>
        <v>-591.90000000000009</v>
      </c>
      <c r="G243" s="41">
        <f>1358.8-150.5</f>
        <v>1208.3</v>
      </c>
      <c r="H243" s="13">
        <f>1358.8-150.5</f>
        <v>1208.3</v>
      </c>
    </row>
    <row r="244" spans="1:8" ht="51">
      <c r="A244" s="28" t="s">
        <v>276</v>
      </c>
      <c r="B244" s="16" t="s">
        <v>281</v>
      </c>
      <c r="C244" s="15" t="s">
        <v>44</v>
      </c>
      <c r="D244" s="41">
        <f>361.3-45.5</f>
        <v>315.8</v>
      </c>
      <c r="E244" s="41">
        <v>543.70000000000005</v>
      </c>
      <c r="F244" s="13">
        <f t="shared" si="13"/>
        <v>-227.90000000000003</v>
      </c>
      <c r="G244" s="41">
        <f>361.3-45.5</f>
        <v>315.8</v>
      </c>
      <c r="H244" s="13">
        <f>361.3-45.5</f>
        <v>315.8</v>
      </c>
    </row>
    <row r="245" spans="1:8" ht="25.5">
      <c r="A245" s="28" t="s">
        <v>45</v>
      </c>
      <c r="B245" s="16" t="s">
        <v>282</v>
      </c>
      <c r="C245" s="15"/>
      <c r="D245" s="41">
        <f>SUM(D246:D247)</f>
        <v>25.1</v>
      </c>
      <c r="E245" s="41">
        <f>SUM(E246:E247)</f>
        <v>0</v>
      </c>
      <c r="F245" s="13">
        <f t="shared" si="13"/>
        <v>4.0999999999999996</v>
      </c>
      <c r="G245" s="41">
        <f>SUM(G246:G247)</f>
        <v>4.0999999999999996</v>
      </c>
      <c r="H245" s="13">
        <f>SUM(H246:H247)</f>
        <v>4.0999999999999996</v>
      </c>
    </row>
    <row r="246" spans="1:8" ht="38.25">
      <c r="A246" s="28" t="s">
        <v>46</v>
      </c>
      <c r="B246" s="16" t="s">
        <v>282</v>
      </c>
      <c r="C246" s="4" t="s">
        <v>47</v>
      </c>
      <c r="D246" s="41">
        <v>21</v>
      </c>
      <c r="E246" s="41"/>
      <c r="F246" s="13">
        <f t="shared" si="13"/>
        <v>0</v>
      </c>
      <c r="G246" s="41"/>
      <c r="H246" s="13"/>
    </row>
    <row r="247" spans="1:8" ht="25.5">
      <c r="A247" s="28" t="s">
        <v>19</v>
      </c>
      <c r="B247" s="16" t="s">
        <v>282</v>
      </c>
      <c r="C247" s="4">
        <v>244</v>
      </c>
      <c r="D247" s="41">
        <f>1.7+2.4</f>
        <v>4.0999999999999996</v>
      </c>
      <c r="E247" s="41"/>
      <c r="F247" s="13">
        <f t="shared" si="13"/>
        <v>4.0999999999999996</v>
      </c>
      <c r="G247" s="41">
        <f>1.7+2.4</f>
        <v>4.0999999999999996</v>
      </c>
      <c r="H247" s="13">
        <f>1.7+2.4</f>
        <v>4.0999999999999996</v>
      </c>
    </row>
    <row r="248" spans="1:8" ht="51">
      <c r="A248" s="28" t="s">
        <v>275</v>
      </c>
      <c r="B248" s="16" t="s">
        <v>283</v>
      </c>
      <c r="C248" s="15"/>
      <c r="D248" s="42">
        <f>D249</f>
        <v>3539.6</v>
      </c>
      <c r="E248" s="42">
        <f>E249</f>
        <v>3614.03</v>
      </c>
      <c r="F248" s="13">
        <f t="shared" si="13"/>
        <v>-102.43000000000029</v>
      </c>
      <c r="G248" s="42">
        <f>G249</f>
        <v>3511.6</v>
      </c>
      <c r="H248" s="17">
        <f>H249</f>
        <v>3511.6</v>
      </c>
    </row>
    <row r="249" spans="1:8" ht="38.25">
      <c r="A249" s="28" t="s">
        <v>324</v>
      </c>
      <c r="B249" s="16" t="s">
        <v>284</v>
      </c>
      <c r="C249" s="15"/>
      <c r="D249" s="42">
        <f>D250+D253</f>
        <v>3539.6</v>
      </c>
      <c r="E249" s="42">
        <f>E250+E253</f>
        <v>3614.03</v>
      </c>
      <c r="F249" s="13">
        <f t="shared" si="13"/>
        <v>-102.43000000000029</v>
      </c>
      <c r="G249" s="42">
        <f>G250+G253</f>
        <v>3511.6</v>
      </c>
      <c r="H249" s="17">
        <f>H250+H253</f>
        <v>3511.6</v>
      </c>
    </row>
    <row r="250" spans="1:8" ht="25.5">
      <c r="A250" s="28" t="s">
        <v>103</v>
      </c>
      <c r="B250" s="16" t="s">
        <v>285</v>
      </c>
      <c r="C250" s="15"/>
      <c r="D250" s="42">
        <f>SUBTOTAL(9,D251:D252)</f>
        <v>3511.6</v>
      </c>
      <c r="E250" s="42">
        <f>SUBTOTAL(9,E251:E252)</f>
        <v>3614.03</v>
      </c>
      <c r="F250" s="13">
        <f t="shared" si="13"/>
        <v>-102.43000000000029</v>
      </c>
      <c r="G250" s="42">
        <f>SUBTOTAL(9,G251:G252)</f>
        <v>3511.6</v>
      </c>
      <c r="H250" s="17">
        <f>SUBTOTAL(9,H251:H252)</f>
        <v>3511.6</v>
      </c>
    </row>
    <row r="251" spans="1:8" ht="38.25">
      <c r="A251" s="28" t="s">
        <v>104</v>
      </c>
      <c r="B251" s="16" t="s">
        <v>285</v>
      </c>
      <c r="C251" s="15" t="s">
        <v>42</v>
      </c>
      <c r="D251" s="42">
        <v>2697.1</v>
      </c>
      <c r="E251" s="42">
        <v>2775.76</v>
      </c>
      <c r="F251" s="13">
        <f t="shared" si="13"/>
        <v>-78.660000000000309</v>
      </c>
      <c r="G251" s="42">
        <v>2697.1</v>
      </c>
      <c r="H251" s="17">
        <v>2697.1</v>
      </c>
    </row>
    <row r="252" spans="1:8" ht="51">
      <c r="A252" s="28" t="s">
        <v>276</v>
      </c>
      <c r="B252" s="16" t="s">
        <v>285</v>
      </c>
      <c r="C252" s="15" t="s">
        <v>44</v>
      </c>
      <c r="D252" s="42">
        <v>814.5</v>
      </c>
      <c r="E252" s="42">
        <v>838.27</v>
      </c>
      <c r="F252" s="13">
        <f t="shared" si="13"/>
        <v>-23.769999999999982</v>
      </c>
      <c r="G252" s="42">
        <v>814.5</v>
      </c>
      <c r="H252" s="17">
        <v>814.5</v>
      </c>
    </row>
    <row r="253" spans="1:8" ht="25.5">
      <c r="A253" s="28" t="s">
        <v>277</v>
      </c>
      <c r="B253" s="16" t="s">
        <v>286</v>
      </c>
      <c r="C253" s="15"/>
      <c r="D253" s="42">
        <f>SUBTOTAL(9,D254:D254)</f>
        <v>28</v>
      </c>
      <c r="E253" s="42">
        <f>SUBTOTAL(9,E254:E254)</f>
        <v>0</v>
      </c>
      <c r="F253" s="13">
        <f t="shared" si="13"/>
        <v>0</v>
      </c>
      <c r="G253" s="42">
        <f>SUBTOTAL(9,G254:G254)</f>
        <v>0</v>
      </c>
      <c r="H253" s="17">
        <f>SUBTOTAL(9,H254:H254)</f>
        <v>0</v>
      </c>
    </row>
    <row r="254" spans="1:8" ht="38.25">
      <c r="A254" s="28" t="s">
        <v>105</v>
      </c>
      <c r="B254" s="16" t="s">
        <v>286</v>
      </c>
      <c r="C254" s="4" t="s">
        <v>47</v>
      </c>
      <c r="D254" s="42">
        <v>28</v>
      </c>
      <c r="E254" s="42"/>
      <c r="F254" s="13">
        <f t="shared" si="13"/>
        <v>0</v>
      </c>
      <c r="G254" s="42"/>
      <c r="H254" s="17"/>
    </row>
    <row r="255" spans="1:8" ht="25.5">
      <c r="A255" s="28" t="s">
        <v>325</v>
      </c>
      <c r="B255" s="16" t="s">
        <v>287</v>
      </c>
      <c r="C255" s="4"/>
      <c r="D255" s="42">
        <f>D256</f>
        <v>5050.95</v>
      </c>
      <c r="E255" s="42"/>
      <c r="F255" s="13">
        <f t="shared" si="13"/>
        <v>5031.3499999999995</v>
      </c>
      <c r="G255" s="42">
        <f>G256</f>
        <v>5031.3499999999995</v>
      </c>
      <c r="H255" s="17">
        <f>H256</f>
        <v>5031.3499999999995</v>
      </c>
    </row>
    <row r="256" spans="1:8">
      <c r="A256" s="28" t="s">
        <v>106</v>
      </c>
      <c r="B256" s="16" t="s">
        <v>288</v>
      </c>
      <c r="C256" s="4"/>
      <c r="D256" s="42">
        <f>D257+D260</f>
        <v>5050.95</v>
      </c>
      <c r="E256" s="42">
        <f>E257+E260</f>
        <v>6563.7300000000005</v>
      </c>
      <c r="F256" s="13">
        <f t="shared" si="13"/>
        <v>-1532.380000000001</v>
      </c>
      <c r="G256" s="42">
        <f>G257+G260</f>
        <v>5031.3499999999995</v>
      </c>
      <c r="H256" s="17">
        <f>H257+H260</f>
        <v>5031.3499999999995</v>
      </c>
    </row>
    <row r="257" spans="1:8" ht="25.5">
      <c r="A257" s="28" t="s">
        <v>107</v>
      </c>
      <c r="B257" s="16" t="s">
        <v>289</v>
      </c>
      <c r="C257" s="4"/>
      <c r="D257" s="42">
        <f>SUBTOTAL(9,D258:D259)</f>
        <v>4458.3999999999996</v>
      </c>
      <c r="E257" s="42">
        <f>SUBTOTAL(9,E258:E259)</f>
        <v>6563.7300000000005</v>
      </c>
      <c r="F257" s="13">
        <f t="shared" si="13"/>
        <v>-2105.3300000000008</v>
      </c>
      <c r="G257" s="42">
        <f>SUBTOTAL(9,G258:G259)</f>
        <v>4458.3999999999996</v>
      </c>
      <c r="H257" s="17">
        <f>SUBTOTAL(9,H258:H259)</f>
        <v>4458.3999999999996</v>
      </c>
    </row>
    <row r="258" spans="1:8" ht="38.25">
      <c r="A258" s="28" t="s">
        <v>104</v>
      </c>
      <c r="B258" s="16" t="s">
        <v>289</v>
      </c>
      <c r="C258" s="15" t="s">
        <v>42</v>
      </c>
      <c r="D258" s="42">
        <f>3854.4-430</f>
        <v>3424.4</v>
      </c>
      <c r="E258" s="42">
        <v>5041.2700000000004</v>
      </c>
      <c r="F258" s="13">
        <f t="shared" si="13"/>
        <v>-1616.8700000000003</v>
      </c>
      <c r="G258" s="42">
        <f>3854.4-430</f>
        <v>3424.4</v>
      </c>
      <c r="H258" s="17">
        <f>3854.4-430</f>
        <v>3424.4</v>
      </c>
    </row>
    <row r="259" spans="1:8" ht="51">
      <c r="A259" s="28" t="s">
        <v>276</v>
      </c>
      <c r="B259" s="16" t="s">
        <v>289</v>
      </c>
      <c r="C259" s="15" t="s">
        <v>44</v>
      </c>
      <c r="D259" s="42">
        <f>1164-130</f>
        <v>1034</v>
      </c>
      <c r="E259" s="42">
        <v>1522.46</v>
      </c>
      <c r="F259" s="13">
        <f t="shared" si="13"/>
        <v>-488.46000000000004</v>
      </c>
      <c r="G259" s="42">
        <f>1164-130</f>
        <v>1034</v>
      </c>
      <c r="H259" s="17">
        <f>1164-130</f>
        <v>1034</v>
      </c>
    </row>
    <row r="260" spans="1:8" s="47" customFormat="1" ht="25.5">
      <c r="A260" s="28" t="s">
        <v>108</v>
      </c>
      <c r="B260" s="16" t="s">
        <v>290</v>
      </c>
      <c r="C260" s="4"/>
      <c r="D260" s="42">
        <f>SUM(D261:D264)</f>
        <v>592.54999999999995</v>
      </c>
      <c r="E260" s="42">
        <f>SUM(E261:E264)</f>
        <v>0</v>
      </c>
      <c r="F260" s="13">
        <f t="shared" si="13"/>
        <v>572.94999999999993</v>
      </c>
      <c r="G260" s="42">
        <f>SUM(G261:G264)</f>
        <v>572.94999999999993</v>
      </c>
      <c r="H260" s="17">
        <f>SUM(H261:H264)</f>
        <v>572.94999999999993</v>
      </c>
    </row>
    <row r="261" spans="1:8" s="47" customFormat="1" ht="38.25">
      <c r="A261" s="28" t="s">
        <v>46</v>
      </c>
      <c r="B261" s="16" t="s">
        <v>290</v>
      </c>
      <c r="C261" s="15" t="s">
        <v>47</v>
      </c>
      <c r="D261" s="42">
        <v>19.600000000000001</v>
      </c>
      <c r="E261" s="42"/>
      <c r="F261" s="13">
        <f t="shared" si="13"/>
        <v>0</v>
      </c>
      <c r="G261" s="42"/>
      <c r="H261" s="17"/>
    </row>
    <row r="262" spans="1:8" s="47" customFormat="1" ht="25.5">
      <c r="A262" s="28" t="s">
        <v>19</v>
      </c>
      <c r="B262" s="16" t="s">
        <v>290</v>
      </c>
      <c r="C262" s="4">
        <v>244</v>
      </c>
      <c r="D262" s="42">
        <f>31.8+20+12.35+100+377+30</f>
        <v>571.15</v>
      </c>
      <c r="E262" s="42"/>
      <c r="F262" s="13">
        <f t="shared" si="13"/>
        <v>571.15</v>
      </c>
      <c r="G262" s="42">
        <f>31.8+20+12.35+100+377+30</f>
        <v>571.15</v>
      </c>
      <c r="H262" s="17">
        <f>31.8+20+12.35+100+377+30</f>
        <v>571.15</v>
      </c>
    </row>
    <row r="263" spans="1:8" s="47" customFormat="1">
      <c r="A263" s="28" t="s">
        <v>32</v>
      </c>
      <c r="B263" s="16" t="s">
        <v>290</v>
      </c>
      <c r="C263" s="4" t="s">
        <v>33</v>
      </c>
      <c r="D263" s="42">
        <v>1.8</v>
      </c>
      <c r="E263" s="42"/>
      <c r="F263" s="13">
        <f t="shared" si="13"/>
        <v>1.8</v>
      </c>
      <c r="G263" s="42">
        <v>1.8</v>
      </c>
      <c r="H263" s="17">
        <v>1.8</v>
      </c>
    </row>
    <row r="264" spans="1:8">
      <c r="A264" s="28" t="s">
        <v>21</v>
      </c>
      <c r="B264" s="16" t="s">
        <v>290</v>
      </c>
      <c r="C264" s="4" t="s">
        <v>22</v>
      </c>
      <c r="D264" s="42"/>
      <c r="E264" s="42"/>
      <c r="F264" s="13">
        <f t="shared" si="13"/>
        <v>0</v>
      </c>
      <c r="G264" s="42"/>
      <c r="H264" s="17"/>
    </row>
    <row r="265" spans="1:8">
      <c r="A265" s="28" t="s">
        <v>109</v>
      </c>
      <c r="B265" s="16" t="s">
        <v>291</v>
      </c>
      <c r="C265" s="4"/>
      <c r="D265" s="42" t="e">
        <f>D266+D269</f>
        <v>#REF!</v>
      </c>
      <c r="E265" s="42">
        <f>E266+E269</f>
        <v>13141.76</v>
      </c>
      <c r="F265" s="13">
        <f t="shared" si="13"/>
        <v>3046.5</v>
      </c>
      <c r="G265" s="42">
        <f>G266+G269</f>
        <v>16188.26</v>
      </c>
      <c r="H265" s="17">
        <f>H266+H269</f>
        <v>16188.26</v>
      </c>
    </row>
    <row r="266" spans="1:8" ht="114.75">
      <c r="A266" s="28" t="s">
        <v>56</v>
      </c>
      <c r="B266" s="16" t="s">
        <v>292</v>
      </c>
      <c r="C266" s="4"/>
      <c r="D266" s="42">
        <f>SUBTOTAL(9,D267:D268)</f>
        <v>8385</v>
      </c>
      <c r="E266" s="42">
        <f>SUBTOTAL(9,E267:E268)</f>
        <v>7713.52</v>
      </c>
      <c r="F266" s="13">
        <f t="shared" si="13"/>
        <v>671.47999999999956</v>
      </c>
      <c r="G266" s="42">
        <f>SUBTOTAL(9,G267:G268)</f>
        <v>8385</v>
      </c>
      <c r="H266" s="17">
        <f>SUBTOTAL(9,H267:H268)</f>
        <v>8385</v>
      </c>
    </row>
    <row r="267" spans="1:8" s="47" customFormat="1" ht="25.5">
      <c r="A267" s="28" t="s">
        <v>10</v>
      </c>
      <c r="B267" s="16" t="s">
        <v>292</v>
      </c>
      <c r="C267" s="15" t="s">
        <v>11</v>
      </c>
      <c r="D267" s="42">
        <v>6440.1</v>
      </c>
      <c r="E267" s="42">
        <v>5924.37</v>
      </c>
      <c r="F267" s="13">
        <f t="shared" si="13"/>
        <v>515.73000000000047</v>
      </c>
      <c r="G267" s="42">
        <v>6440.1</v>
      </c>
      <c r="H267" s="17">
        <v>6440.1</v>
      </c>
    </row>
    <row r="268" spans="1:8" s="47" customFormat="1" ht="51">
      <c r="A268" s="28" t="s">
        <v>12</v>
      </c>
      <c r="B268" s="16" t="s">
        <v>292</v>
      </c>
      <c r="C268" s="15" t="s">
        <v>13</v>
      </c>
      <c r="D268" s="42">
        <v>1944.9</v>
      </c>
      <c r="E268" s="42">
        <v>1789.15</v>
      </c>
      <c r="F268" s="13">
        <f t="shared" si="13"/>
        <v>155.75</v>
      </c>
      <c r="G268" s="42">
        <v>1944.9</v>
      </c>
      <c r="H268" s="17">
        <v>1944.9</v>
      </c>
    </row>
    <row r="269" spans="1:8" s="47" customFormat="1" ht="38.25">
      <c r="A269" s="28" t="s">
        <v>110</v>
      </c>
      <c r="B269" s="16" t="s">
        <v>293</v>
      </c>
      <c r="C269" s="4"/>
      <c r="D269" s="42" t="e">
        <f>D270+D273+D279+D277</f>
        <v>#REF!</v>
      </c>
      <c r="E269" s="42">
        <f>E270+E273</f>
        <v>5428.24</v>
      </c>
      <c r="F269" s="13">
        <f t="shared" si="13"/>
        <v>2375.0200000000004</v>
      </c>
      <c r="G269" s="42">
        <f>G270+G273+G277</f>
        <v>7803.26</v>
      </c>
      <c r="H269" s="17">
        <f>H270+H273+H277</f>
        <v>7803.26</v>
      </c>
    </row>
    <row r="270" spans="1:8" s="47" customFormat="1" ht="25.5">
      <c r="A270" s="28" t="s">
        <v>111</v>
      </c>
      <c r="B270" s="16" t="s">
        <v>294</v>
      </c>
      <c r="C270" s="4"/>
      <c r="D270" s="42">
        <f>SUBTOTAL(9,D271:D272)</f>
        <v>5463.2999999999993</v>
      </c>
      <c r="E270" s="42">
        <f>SUBTOTAL(9,E271:E272)</f>
        <v>5428.24</v>
      </c>
      <c r="F270" s="13">
        <f t="shared" si="13"/>
        <v>35.059999999999491</v>
      </c>
      <c r="G270" s="42">
        <f>SUBTOTAL(9,G271:G272)</f>
        <v>5463.2999999999993</v>
      </c>
      <c r="H270" s="17">
        <f>SUBTOTAL(9,H271:H272)</f>
        <v>5463.2999999999993</v>
      </c>
    </row>
    <row r="271" spans="1:8" ht="25.5">
      <c r="A271" s="28" t="s">
        <v>10</v>
      </c>
      <c r="B271" s="16" t="s">
        <v>294</v>
      </c>
      <c r="C271" s="4" t="s">
        <v>11</v>
      </c>
      <c r="D271" s="42">
        <f>4561.7-322.6</f>
        <v>4239.0999999999995</v>
      </c>
      <c r="E271" s="42">
        <v>4169.16</v>
      </c>
      <c r="F271" s="13">
        <f t="shared" si="13"/>
        <v>69.9399999999996</v>
      </c>
      <c r="G271" s="42">
        <f>4561.7-322.6</f>
        <v>4239.0999999999995</v>
      </c>
      <c r="H271" s="17">
        <f>4561.7-322.6</f>
        <v>4239.0999999999995</v>
      </c>
    </row>
    <row r="272" spans="1:8" ht="51">
      <c r="A272" s="28" t="s">
        <v>12</v>
      </c>
      <c r="B272" s="16" t="s">
        <v>294</v>
      </c>
      <c r="C272" s="15" t="s">
        <v>13</v>
      </c>
      <c r="D272" s="42">
        <f>1321.6-97.4</f>
        <v>1224.1999999999998</v>
      </c>
      <c r="E272" s="42">
        <v>1259.08</v>
      </c>
      <c r="F272" s="13">
        <f t="shared" si="13"/>
        <v>-34.880000000000109</v>
      </c>
      <c r="G272" s="42">
        <f>1321.6-97.4</f>
        <v>1224.1999999999998</v>
      </c>
      <c r="H272" s="17">
        <f>1321.6-97.4</f>
        <v>1224.1999999999998</v>
      </c>
    </row>
    <row r="273" spans="1:8" ht="38.25">
      <c r="A273" s="28" t="s">
        <v>112</v>
      </c>
      <c r="B273" s="16" t="s">
        <v>295</v>
      </c>
      <c r="C273" s="15"/>
      <c r="D273" s="42">
        <f>SUBTOTAL(9,D274:D276)</f>
        <v>1445.52</v>
      </c>
      <c r="E273" s="42">
        <f>SUBTOTAL(9,E274:E275)</f>
        <v>0</v>
      </c>
      <c r="F273" s="13">
        <f t="shared" ref="F273:F293" si="14">G273-E273</f>
        <v>1427.52</v>
      </c>
      <c r="G273" s="42">
        <f>SUBTOTAL(9,G274:G276)</f>
        <v>1427.52</v>
      </c>
      <c r="H273" s="17">
        <f>SUBTOTAL(9,H274:H276)</f>
        <v>1427.52</v>
      </c>
    </row>
    <row r="274" spans="1:8" ht="25.5">
      <c r="A274" s="32" t="s">
        <v>15</v>
      </c>
      <c r="B274" s="16" t="s">
        <v>295</v>
      </c>
      <c r="C274" s="15" t="s">
        <v>16</v>
      </c>
      <c r="D274" s="42">
        <v>18</v>
      </c>
      <c r="E274" s="42"/>
      <c r="F274" s="13">
        <f t="shared" si="14"/>
        <v>0</v>
      </c>
      <c r="G274" s="42"/>
      <c r="H274" s="17"/>
    </row>
    <row r="275" spans="1:8" ht="25.5">
      <c r="A275" s="28" t="s">
        <v>19</v>
      </c>
      <c r="B275" s="16" t="s">
        <v>295</v>
      </c>
      <c r="C275" s="4">
        <v>244</v>
      </c>
      <c r="D275" s="42">
        <f>75.84+503.38+100.4+227.56+188.04</f>
        <v>1095.22</v>
      </c>
      <c r="E275" s="42"/>
      <c r="F275" s="13">
        <f t="shared" si="14"/>
        <v>1095.22</v>
      </c>
      <c r="G275" s="42">
        <f>75.84+503.38+100.4+227.56+188.04</f>
        <v>1095.22</v>
      </c>
      <c r="H275" s="17">
        <f>75.84+503.38+100.4+227.56+188.04</f>
        <v>1095.22</v>
      </c>
    </row>
    <row r="276" spans="1:8" ht="25.5">
      <c r="A276" s="28" t="s">
        <v>30</v>
      </c>
      <c r="B276" s="16" t="s">
        <v>295</v>
      </c>
      <c r="C276" s="4" t="s">
        <v>31</v>
      </c>
      <c r="D276" s="42">
        <v>332.3</v>
      </c>
      <c r="E276" s="42"/>
      <c r="F276" s="13">
        <f t="shared" si="14"/>
        <v>332.3</v>
      </c>
      <c r="G276" s="42">
        <v>332.3</v>
      </c>
      <c r="H276" s="17">
        <v>332.3</v>
      </c>
    </row>
    <row r="277" spans="1:8" ht="25.5">
      <c r="A277" s="28" t="s">
        <v>308</v>
      </c>
      <c r="B277" s="16" t="s">
        <v>306</v>
      </c>
      <c r="C277" s="4"/>
      <c r="D277" s="42">
        <f>D278</f>
        <v>912.44</v>
      </c>
      <c r="E277" s="42"/>
      <c r="F277" s="13">
        <f t="shared" si="14"/>
        <v>912.44</v>
      </c>
      <c r="G277" s="42">
        <f>G278</f>
        <v>912.44</v>
      </c>
      <c r="H277" s="17">
        <f>H278</f>
        <v>912.44</v>
      </c>
    </row>
    <row r="278" spans="1:8" ht="25.5">
      <c r="A278" s="28" t="s">
        <v>19</v>
      </c>
      <c r="B278" s="16" t="s">
        <v>306</v>
      </c>
      <c r="C278" s="4" t="s">
        <v>20</v>
      </c>
      <c r="D278" s="42">
        <v>912.44</v>
      </c>
      <c r="E278" s="42"/>
      <c r="F278" s="13">
        <f t="shared" si="14"/>
        <v>912.44</v>
      </c>
      <c r="G278" s="42">
        <v>912.44</v>
      </c>
      <c r="H278" s="17">
        <v>912.44</v>
      </c>
    </row>
    <row r="279" spans="1:8" ht="38.25">
      <c r="A279" s="28" t="s">
        <v>322</v>
      </c>
      <c r="B279" s="15" t="s">
        <v>320</v>
      </c>
      <c r="C279" s="11"/>
      <c r="D279" s="42" t="e">
        <f>#REF!</f>
        <v>#REF!</v>
      </c>
      <c r="E279" s="42" t="e">
        <f>#REF!</f>
        <v>#REF!</v>
      </c>
      <c r="F279" s="13">
        <v>-14575.64</v>
      </c>
      <c r="G279" s="42">
        <v>62245.03</v>
      </c>
      <c r="H279" s="17">
        <v>62582.76</v>
      </c>
    </row>
    <row r="280" spans="1:8">
      <c r="A280" s="28" t="s">
        <v>319</v>
      </c>
      <c r="B280" s="15" t="s">
        <v>321</v>
      </c>
      <c r="C280" s="15"/>
      <c r="D280" s="42" t="e">
        <f t="shared" ref="D280:E282" si="15">D281</f>
        <v>#REF!</v>
      </c>
      <c r="E280" s="42">
        <f t="shared" si="15"/>
        <v>0</v>
      </c>
      <c r="F280" s="13">
        <f t="shared" si="14"/>
        <v>10586.3</v>
      </c>
      <c r="G280" s="42">
        <f t="shared" ref="G280:H282" si="16">G281</f>
        <v>10586.3</v>
      </c>
      <c r="H280" s="17">
        <f t="shared" si="16"/>
        <v>10586.3</v>
      </c>
    </row>
    <row r="281" spans="1:8">
      <c r="A281" s="28" t="s">
        <v>319</v>
      </c>
      <c r="B281" s="15" t="s">
        <v>321</v>
      </c>
      <c r="C281" s="15"/>
      <c r="D281" s="42" t="e">
        <f t="shared" si="15"/>
        <v>#REF!</v>
      </c>
      <c r="E281" s="42">
        <f t="shared" si="15"/>
        <v>0</v>
      </c>
      <c r="F281" s="13">
        <f t="shared" si="14"/>
        <v>10586.3</v>
      </c>
      <c r="G281" s="42">
        <f t="shared" si="16"/>
        <v>10586.3</v>
      </c>
      <c r="H281" s="17">
        <f t="shared" si="16"/>
        <v>10586.3</v>
      </c>
    </row>
    <row r="282" spans="1:8">
      <c r="A282" s="28" t="s">
        <v>319</v>
      </c>
      <c r="B282" s="15" t="s">
        <v>321</v>
      </c>
      <c r="C282" s="7"/>
      <c r="D282" s="42" t="e">
        <f t="shared" si="15"/>
        <v>#REF!</v>
      </c>
      <c r="E282" s="42">
        <f t="shared" si="15"/>
        <v>0</v>
      </c>
      <c r="F282" s="13">
        <f t="shared" si="14"/>
        <v>10586.3</v>
      </c>
      <c r="G282" s="42">
        <f t="shared" si="16"/>
        <v>10586.3</v>
      </c>
      <c r="H282" s="17">
        <f t="shared" si="16"/>
        <v>10586.3</v>
      </c>
    </row>
    <row r="283" spans="1:8">
      <c r="A283" s="28" t="s">
        <v>319</v>
      </c>
      <c r="B283" s="15" t="s">
        <v>321</v>
      </c>
      <c r="C283" s="10"/>
      <c r="D283" s="42" t="e">
        <f>D284+D287</f>
        <v>#REF!</v>
      </c>
      <c r="E283" s="43"/>
      <c r="F283" s="13">
        <f t="shared" si="14"/>
        <v>10586.3</v>
      </c>
      <c r="G283" s="42">
        <f>G284+G287</f>
        <v>10586.3</v>
      </c>
      <c r="H283" s="17">
        <f>H284+H287</f>
        <v>10586.3</v>
      </c>
    </row>
    <row r="284" spans="1:8" ht="51">
      <c r="A284" s="28" t="s">
        <v>340</v>
      </c>
      <c r="B284" s="15" t="s">
        <v>366</v>
      </c>
      <c r="C284" s="15"/>
      <c r="D284" s="42" t="e">
        <f>D285</f>
        <v>#REF!</v>
      </c>
      <c r="E284" s="42">
        <f>E285</f>
        <v>6633.1399999999994</v>
      </c>
      <c r="F284" s="13">
        <f t="shared" si="14"/>
        <v>-453.85999999999967</v>
      </c>
      <c r="G284" s="42">
        <f>G285</f>
        <v>6179.28</v>
      </c>
      <c r="H284" s="17">
        <f>H285</f>
        <v>6179.28</v>
      </c>
    </row>
    <row r="285" spans="1:8" ht="25.5">
      <c r="A285" s="28" t="s">
        <v>220</v>
      </c>
      <c r="B285" s="15" t="s">
        <v>367</v>
      </c>
      <c r="C285" s="15"/>
      <c r="D285" s="42" t="e">
        <f>D286+D289+D294</f>
        <v>#REF!</v>
      </c>
      <c r="E285" s="42">
        <f>E286+E289</f>
        <v>6633.1399999999994</v>
      </c>
      <c r="F285" s="13">
        <f t="shared" si="14"/>
        <v>-453.85999999999967</v>
      </c>
      <c r="G285" s="42">
        <f>G286+G289+G294</f>
        <v>6179.28</v>
      </c>
      <c r="H285" s="17">
        <f>H286+H289+H294</f>
        <v>6179.28</v>
      </c>
    </row>
    <row r="286" spans="1:8" ht="25.5">
      <c r="A286" s="28" t="s">
        <v>221</v>
      </c>
      <c r="B286" s="15" t="s">
        <v>368</v>
      </c>
      <c r="C286" s="4"/>
      <c r="D286" s="42">
        <f>SUBTOTAL(9,D287:D288)</f>
        <v>5737.9599999999991</v>
      </c>
      <c r="E286" s="42">
        <f>SUBTOTAL(9,E287:E288)</f>
        <v>6633.1399999999994</v>
      </c>
      <c r="F286" s="13">
        <f t="shared" si="14"/>
        <v>-895.18000000000029</v>
      </c>
      <c r="G286" s="42">
        <f>SUBTOTAL(9,G287:G288)</f>
        <v>5737.9599999999991</v>
      </c>
      <c r="H286" s="17">
        <f>SUBTOTAL(9,H287:H288)</f>
        <v>5737.9599999999991</v>
      </c>
    </row>
    <row r="287" spans="1:8" ht="25.5">
      <c r="A287" s="28" t="s">
        <v>10</v>
      </c>
      <c r="B287" s="15" t="s">
        <v>368</v>
      </c>
      <c r="C287" s="15" t="s">
        <v>11</v>
      </c>
      <c r="D287" s="42">
        <f>4972.32-565.3</f>
        <v>4407.0199999999995</v>
      </c>
      <c r="E287" s="42">
        <v>5094.58</v>
      </c>
      <c r="F287" s="13">
        <f t="shared" si="14"/>
        <v>-687.5600000000004</v>
      </c>
      <c r="G287" s="42">
        <f>4972.32-565.3</f>
        <v>4407.0199999999995</v>
      </c>
      <c r="H287" s="17">
        <f>4972.32-565.3</f>
        <v>4407.0199999999995</v>
      </c>
    </row>
    <row r="288" spans="1:8" ht="51">
      <c r="A288" s="28" t="s">
        <v>12</v>
      </c>
      <c r="B288" s="15" t="s">
        <v>368</v>
      </c>
      <c r="C288" s="15" t="s">
        <v>13</v>
      </c>
      <c r="D288" s="42">
        <f>1501.64-170.7</f>
        <v>1330.94</v>
      </c>
      <c r="E288" s="42">
        <v>1538.56</v>
      </c>
      <c r="F288" s="13">
        <f t="shared" si="14"/>
        <v>-207.61999999999989</v>
      </c>
      <c r="G288" s="42">
        <f>1501.64-170.7</f>
        <v>1330.94</v>
      </c>
      <c r="H288" s="17">
        <f>1501.64-170.7</f>
        <v>1330.94</v>
      </c>
    </row>
    <row r="289" spans="1:8" ht="25.5">
      <c r="A289" s="28" t="s">
        <v>222</v>
      </c>
      <c r="B289" s="15" t="s">
        <v>369</v>
      </c>
      <c r="C289" s="4"/>
      <c r="D289" s="42">
        <f>SUBTOTAL(9,D290:D293)</f>
        <v>392.7</v>
      </c>
      <c r="E289" s="42">
        <f>SUBTOTAL(9,E290:E293)</f>
        <v>0</v>
      </c>
      <c r="F289" s="13">
        <f t="shared" si="14"/>
        <v>371.02</v>
      </c>
      <c r="G289" s="42">
        <f>SUBTOTAL(9,G290:G293)</f>
        <v>371.02</v>
      </c>
      <c r="H289" s="17">
        <f>SUBTOTAL(9,H290:H293)</f>
        <v>371.02</v>
      </c>
    </row>
    <row r="290" spans="1:8" ht="25.5">
      <c r="A290" s="32" t="s">
        <v>15</v>
      </c>
      <c r="B290" s="15" t="s">
        <v>369</v>
      </c>
      <c r="C290" s="15" t="s">
        <v>16</v>
      </c>
      <c r="D290" s="42">
        <v>21.68</v>
      </c>
      <c r="E290" s="42"/>
      <c r="F290" s="13">
        <f t="shared" si="14"/>
        <v>0</v>
      </c>
      <c r="G290" s="42"/>
      <c r="H290" s="17"/>
    </row>
    <row r="291" spans="1:8" ht="25.5">
      <c r="A291" s="28" t="s">
        <v>19</v>
      </c>
      <c r="B291" s="15" t="s">
        <v>369</v>
      </c>
      <c r="C291" s="4">
        <v>244</v>
      </c>
      <c r="D291" s="42">
        <f>62.04+156+32.8+6.64+185.54-72</f>
        <v>371.02</v>
      </c>
      <c r="E291" s="42"/>
      <c r="F291" s="13">
        <f t="shared" si="14"/>
        <v>371.02</v>
      </c>
      <c r="G291" s="42">
        <f>62.04+156+32.8+6.64+185.54-72</f>
        <v>371.02</v>
      </c>
      <c r="H291" s="17">
        <f>62.04+156+32.8+6.64+185.54-72</f>
        <v>371.02</v>
      </c>
    </row>
    <row r="292" spans="1:8">
      <c r="A292" s="28" t="s">
        <v>32</v>
      </c>
      <c r="B292" s="15" t="s">
        <v>369</v>
      </c>
      <c r="C292" s="4" t="s">
        <v>33</v>
      </c>
      <c r="D292" s="42"/>
      <c r="E292" s="42"/>
      <c r="F292" s="13">
        <f t="shared" si="14"/>
        <v>0</v>
      </c>
      <c r="G292" s="42"/>
      <c r="H292" s="17"/>
    </row>
    <row r="293" spans="1:8" s="47" customFormat="1">
      <c r="A293" s="28" t="s">
        <v>21</v>
      </c>
      <c r="B293" s="15" t="s">
        <v>369</v>
      </c>
      <c r="C293" s="4" t="s">
        <v>22</v>
      </c>
      <c r="D293" s="42"/>
      <c r="E293" s="42"/>
      <c r="F293" s="13">
        <f t="shared" si="14"/>
        <v>0</v>
      </c>
      <c r="G293" s="42"/>
      <c r="H293" s="17"/>
    </row>
    <row r="294" spans="1:8" s="47" customFormat="1" ht="38.25">
      <c r="A294" s="28" t="s">
        <v>201</v>
      </c>
      <c r="B294" s="15" t="s">
        <v>358</v>
      </c>
      <c r="C294" s="15"/>
      <c r="D294" s="42" t="e">
        <f>#REF!</f>
        <v>#REF!</v>
      </c>
      <c r="E294" s="42" t="e">
        <f>#REF!</f>
        <v>#REF!</v>
      </c>
      <c r="F294" s="13">
        <v>70.3</v>
      </c>
      <c r="G294" s="42">
        <v>70.3</v>
      </c>
      <c r="H294" s="17">
        <v>70.3</v>
      </c>
    </row>
    <row r="295" spans="1:8" s="47" customFormat="1" ht="38.25">
      <c r="A295" s="32" t="s">
        <v>217</v>
      </c>
      <c r="B295" s="16" t="s">
        <v>365</v>
      </c>
      <c r="C295" s="15"/>
      <c r="D295" s="42">
        <f>D296</f>
        <v>70.3</v>
      </c>
      <c r="E295" s="42">
        <f>E296</f>
        <v>69.8</v>
      </c>
      <c r="F295" s="13">
        <f t="shared" ref="F295:F312" si="17">G295-E295</f>
        <v>0.5</v>
      </c>
      <c r="G295" s="42">
        <f>G296</f>
        <v>70.3</v>
      </c>
      <c r="H295" s="17">
        <f>H296</f>
        <v>70.3</v>
      </c>
    </row>
    <row r="296" spans="1:8" s="47" customFormat="1" ht="25.5">
      <c r="A296" s="28" t="s">
        <v>19</v>
      </c>
      <c r="B296" s="16" t="s">
        <v>365</v>
      </c>
      <c r="C296" s="15" t="s">
        <v>20</v>
      </c>
      <c r="D296" s="42">
        <v>70.3</v>
      </c>
      <c r="E296" s="42">
        <v>69.8</v>
      </c>
      <c r="F296" s="13">
        <f t="shared" si="17"/>
        <v>0.5</v>
      </c>
      <c r="G296" s="42">
        <v>70.3</v>
      </c>
      <c r="H296" s="17">
        <v>70.3</v>
      </c>
    </row>
    <row r="297" spans="1:8" s="47" customFormat="1" ht="38.25">
      <c r="A297" s="28" t="s">
        <v>202</v>
      </c>
      <c r="B297" s="15" t="s">
        <v>359</v>
      </c>
      <c r="C297" s="15"/>
      <c r="D297" s="42">
        <f>SUBTOTAL(9,D298:D301)</f>
        <v>3134</v>
      </c>
      <c r="E297" s="42">
        <f>SUBTOTAL(9,E298:E301)</f>
        <v>2952</v>
      </c>
      <c r="F297" s="13">
        <f t="shared" si="17"/>
        <v>185</v>
      </c>
      <c r="G297" s="42">
        <f>SUBTOTAL(9,G298:G301)</f>
        <v>3137</v>
      </c>
      <c r="H297" s="17">
        <f>SUBTOTAL(9,H298:H301)</f>
        <v>3137</v>
      </c>
    </row>
    <row r="298" spans="1:8" s="47" customFormat="1" ht="38.25">
      <c r="A298" s="28" t="s">
        <v>104</v>
      </c>
      <c r="B298" s="15" t="s">
        <v>359</v>
      </c>
      <c r="C298" s="4" t="s">
        <v>42</v>
      </c>
      <c r="D298" s="42">
        <v>1920</v>
      </c>
      <c r="E298" s="42">
        <v>2005</v>
      </c>
      <c r="F298" s="13">
        <f t="shared" si="17"/>
        <v>-85</v>
      </c>
      <c r="G298" s="42">
        <v>1920</v>
      </c>
      <c r="H298" s="17">
        <v>1920</v>
      </c>
    </row>
    <row r="299" spans="1:8" s="47" customFormat="1" ht="38.25">
      <c r="A299" s="28" t="s">
        <v>46</v>
      </c>
      <c r="B299" s="15" t="s">
        <v>359</v>
      </c>
      <c r="C299" s="4" t="s">
        <v>47</v>
      </c>
      <c r="D299" s="42">
        <v>100</v>
      </c>
      <c r="E299" s="42">
        <v>20</v>
      </c>
      <c r="F299" s="13">
        <f t="shared" si="17"/>
        <v>80</v>
      </c>
      <c r="G299" s="42">
        <v>100</v>
      </c>
      <c r="H299" s="17">
        <v>100</v>
      </c>
    </row>
    <row r="300" spans="1:8" s="47" customFormat="1" ht="51">
      <c r="A300" s="28" t="s">
        <v>203</v>
      </c>
      <c r="B300" s="15" t="s">
        <v>359</v>
      </c>
      <c r="C300" s="4" t="s">
        <v>44</v>
      </c>
      <c r="D300" s="42">
        <v>580</v>
      </c>
      <c r="E300" s="42">
        <v>606</v>
      </c>
      <c r="F300" s="13">
        <f t="shared" si="17"/>
        <v>-26</v>
      </c>
      <c r="G300" s="42">
        <v>580</v>
      </c>
      <c r="H300" s="17">
        <v>580</v>
      </c>
    </row>
    <row r="301" spans="1:8" s="47" customFormat="1" ht="25.5">
      <c r="A301" s="28" t="s">
        <v>19</v>
      </c>
      <c r="B301" s="15" t="s">
        <v>359</v>
      </c>
      <c r="C301" s="4">
        <v>244</v>
      </c>
      <c r="D301" s="42">
        <v>534</v>
      </c>
      <c r="E301" s="42">
        <v>321</v>
      </c>
      <c r="F301" s="13">
        <f t="shared" si="17"/>
        <v>216</v>
      </c>
      <c r="G301" s="42">
        <f>534+3</f>
        <v>537</v>
      </c>
      <c r="H301" s="17">
        <f>534+3</f>
        <v>537</v>
      </c>
    </row>
    <row r="302" spans="1:8" s="47" customFormat="1" ht="76.5">
      <c r="A302" s="30" t="s">
        <v>452</v>
      </c>
      <c r="B302" s="55" t="s">
        <v>451</v>
      </c>
      <c r="C302" s="10"/>
      <c r="D302" s="42">
        <f>D303</f>
        <v>6.7700000000000005</v>
      </c>
      <c r="E302" s="43"/>
      <c r="F302" s="13">
        <f t="shared" si="17"/>
        <v>6.7700000000000005</v>
      </c>
      <c r="G302" s="42">
        <f>G303</f>
        <v>6.7700000000000005</v>
      </c>
      <c r="H302" s="17">
        <f>H303</f>
        <v>0</v>
      </c>
    </row>
    <row r="303" spans="1:8" s="47" customFormat="1" ht="25.5">
      <c r="A303" s="14" t="s">
        <v>19</v>
      </c>
      <c r="B303" s="55" t="s">
        <v>451</v>
      </c>
      <c r="C303" s="7" t="s">
        <v>20</v>
      </c>
      <c r="D303" s="42">
        <f>6.7+0.07</f>
        <v>6.7700000000000005</v>
      </c>
      <c r="E303" s="43"/>
      <c r="F303" s="13">
        <f t="shared" si="17"/>
        <v>6.7700000000000005</v>
      </c>
      <c r="G303" s="42">
        <f>6.7+0.07</f>
        <v>6.7700000000000005</v>
      </c>
      <c r="H303" s="17"/>
    </row>
    <row r="304" spans="1:8" s="47" customFormat="1" ht="25.5">
      <c r="A304" s="28" t="s">
        <v>341</v>
      </c>
      <c r="B304" s="15" t="s">
        <v>370</v>
      </c>
      <c r="C304" s="7"/>
      <c r="D304" s="17">
        <f>D305+D307+D309</f>
        <v>30.1</v>
      </c>
      <c r="E304" s="42"/>
      <c r="F304" s="13">
        <f t="shared" si="17"/>
        <v>30.1</v>
      </c>
      <c r="G304" s="17">
        <f>G305+G307+G309</f>
        <v>30.1</v>
      </c>
      <c r="H304" s="17">
        <f>H305+H307+H309</f>
        <v>30.1</v>
      </c>
    </row>
    <row r="305" spans="1:8" s="47" customFormat="1" ht="25.5">
      <c r="A305" s="33" t="s">
        <v>223</v>
      </c>
      <c r="B305" s="22" t="s">
        <v>371</v>
      </c>
      <c r="C305" s="15"/>
      <c r="D305" s="42">
        <f>D306</f>
        <v>10</v>
      </c>
      <c r="E305" s="42">
        <f>E306</f>
        <v>0</v>
      </c>
      <c r="F305" s="13">
        <f t="shared" si="17"/>
        <v>10</v>
      </c>
      <c r="G305" s="42">
        <f>G306</f>
        <v>10</v>
      </c>
      <c r="H305" s="17">
        <f>H306</f>
        <v>10</v>
      </c>
    </row>
    <row r="306" spans="1:8" s="47" customFormat="1" ht="25.5">
      <c r="A306" s="28" t="s">
        <v>19</v>
      </c>
      <c r="B306" s="22" t="s">
        <v>371</v>
      </c>
      <c r="C306" s="15" t="s">
        <v>20</v>
      </c>
      <c r="D306" s="42">
        <v>10</v>
      </c>
      <c r="E306" s="42"/>
      <c r="F306" s="13">
        <f t="shared" si="17"/>
        <v>10</v>
      </c>
      <c r="G306" s="42">
        <v>10</v>
      </c>
      <c r="H306" s="17">
        <v>10</v>
      </c>
    </row>
    <row r="307" spans="1:8" ht="25.5">
      <c r="A307" s="33" t="s">
        <v>224</v>
      </c>
      <c r="B307" s="22" t="s">
        <v>372</v>
      </c>
      <c r="C307" s="15"/>
      <c r="D307" s="17">
        <f>D308</f>
        <v>10</v>
      </c>
      <c r="E307" s="42">
        <f>E308</f>
        <v>0</v>
      </c>
      <c r="F307" s="13">
        <f t="shared" si="17"/>
        <v>10</v>
      </c>
      <c r="G307" s="17">
        <f>G308</f>
        <v>10</v>
      </c>
      <c r="H307" s="17">
        <f>H308</f>
        <v>10</v>
      </c>
    </row>
    <row r="308" spans="1:8" ht="25.5">
      <c r="A308" s="28" t="s">
        <v>19</v>
      </c>
      <c r="B308" s="22" t="s">
        <v>372</v>
      </c>
      <c r="C308" s="15" t="s">
        <v>20</v>
      </c>
      <c r="D308" s="42">
        <v>10</v>
      </c>
      <c r="E308" s="42"/>
      <c r="F308" s="13">
        <f t="shared" si="17"/>
        <v>10</v>
      </c>
      <c r="G308" s="42">
        <v>10</v>
      </c>
      <c r="H308" s="17">
        <v>10</v>
      </c>
    </row>
    <row r="309" spans="1:8" ht="38.25">
      <c r="A309" s="56" t="s">
        <v>453</v>
      </c>
      <c r="B309" s="55" t="s">
        <v>456</v>
      </c>
      <c r="C309" s="15"/>
      <c r="D309" s="42">
        <f>D310</f>
        <v>10.1</v>
      </c>
      <c r="E309" s="42"/>
      <c r="F309" s="13">
        <f t="shared" si="17"/>
        <v>10.1</v>
      </c>
      <c r="G309" s="42">
        <f>G310</f>
        <v>10.1</v>
      </c>
      <c r="H309" s="17">
        <f>H310</f>
        <v>10.1</v>
      </c>
    </row>
    <row r="310" spans="1:8">
      <c r="A310" s="56" t="s">
        <v>454</v>
      </c>
      <c r="B310" s="55" t="s">
        <v>456</v>
      </c>
      <c r="C310" s="15" t="s">
        <v>455</v>
      </c>
      <c r="D310" s="42">
        <v>10.1</v>
      </c>
      <c r="E310" s="42"/>
      <c r="F310" s="13">
        <f t="shared" si="17"/>
        <v>10.1</v>
      </c>
      <c r="G310" s="42">
        <v>10.1</v>
      </c>
      <c r="H310" s="17">
        <v>10.1</v>
      </c>
    </row>
    <row r="311" spans="1:8" ht="25.5">
      <c r="A311" s="14" t="s">
        <v>394</v>
      </c>
      <c r="B311" s="15" t="s">
        <v>395</v>
      </c>
      <c r="C311" s="4"/>
      <c r="D311" s="42">
        <f>D312</f>
        <v>72</v>
      </c>
      <c r="E311" s="42"/>
      <c r="F311" s="13">
        <f t="shared" si="17"/>
        <v>72</v>
      </c>
      <c r="G311" s="42">
        <f>G312</f>
        <v>72</v>
      </c>
      <c r="H311" s="17">
        <f>H312</f>
        <v>72</v>
      </c>
    </row>
    <row r="312" spans="1:8" ht="25.5">
      <c r="A312" s="14" t="s">
        <v>19</v>
      </c>
      <c r="B312" s="15" t="s">
        <v>395</v>
      </c>
      <c r="C312" s="4" t="s">
        <v>20</v>
      </c>
      <c r="D312" s="42">
        <v>72</v>
      </c>
      <c r="E312" s="42"/>
      <c r="F312" s="13">
        <f t="shared" si="17"/>
        <v>72</v>
      </c>
      <c r="G312" s="42">
        <v>72</v>
      </c>
      <c r="H312" s="17">
        <v>72</v>
      </c>
    </row>
    <row r="313" spans="1:8">
      <c r="A313" s="32" t="s">
        <v>413</v>
      </c>
      <c r="B313" s="15" t="s">
        <v>414</v>
      </c>
      <c r="C313" s="54"/>
      <c r="D313" s="42" t="e">
        <f>D314</f>
        <v>#REF!</v>
      </c>
      <c r="E313" s="42" t="e">
        <f>E314</f>
        <v>#REF!</v>
      </c>
      <c r="F313" s="13">
        <v>-7573.9800000000032</v>
      </c>
      <c r="G313" s="42">
        <v>12367.98</v>
      </c>
      <c r="H313" s="17">
        <v>12367.98</v>
      </c>
    </row>
    <row r="314" spans="1:8" ht="38.25">
      <c r="A314" s="28" t="s">
        <v>415</v>
      </c>
      <c r="B314" s="15" t="s">
        <v>141</v>
      </c>
      <c r="C314" s="15"/>
      <c r="D314" s="42" t="e">
        <f>#REF!</f>
        <v>#REF!</v>
      </c>
      <c r="E314" s="42" t="e">
        <f>#REF!</f>
        <v>#REF!</v>
      </c>
      <c r="F314" s="13">
        <v>-7573.9800000000032</v>
      </c>
      <c r="G314" s="42">
        <v>12367.98</v>
      </c>
      <c r="H314" s="17">
        <v>12367.98</v>
      </c>
    </row>
    <row r="315" spans="1:8">
      <c r="A315" s="28" t="s">
        <v>142</v>
      </c>
      <c r="B315" s="15" t="s">
        <v>143</v>
      </c>
      <c r="C315" s="15"/>
      <c r="D315" s="42">
        <f>D316+D319+D326</f>
        <v>12569.66</v>
      </c>
      <c r="E315" s="42">
        <f>E316+E319</f>
        <v>19941.960000000003</v>
      </c>
      <c r="F315" s="13">
        <f t="shared" ref="F315:F330" si="18">G315-E315</f>
        <v>-7573.9800000000032</v>
      </c>
      <c r="G315" s="42">
        <f>G316+G319+G326</f>
        <v>12367.98</v>
      </c>
      <c r="H315" s="17">
        <f>H316+H319+H326</f>
        <v>12367.98</v>
      </c>
    </row>
    <row r="316" spans="1:8" ht="25.5">
      <c r="A316" s="28" t="s">
        <v>144</v>
      </c>
      <c r="B316" s="15" t="s">
        <v>145</v>
      </c>
      <c r="C316" s="4"/>
      <c r="D316" s="42">
        <f>SUBTOTAL(9,D317:D318)</f>
        <v>6498.9999999999991</v>
      </c>
      <c r="E316" s="42">
        <f>SUBTOTAL(9,E317:E318)</f>
        <v>19768.260000000002</v>
      </c>
      <c r="F316" s="13">
        <f t="shared" si="18"/>
        <v>-13269.260000000002</v>
      </c>
      <c r="G316" s="42">
        <f>SUBTOTAL(9,G317:G318)</f>
        <v>6498.9999999999991</v>
      </c>
      <c r="H316" s="17">
        <f>SUBTOTAL(9,H317:H318)</f>
        <v>6498.9999999999991</v>
      </c>
    </row>
    <row r="317" spans="1:8" ht="25.5">
      <c r="A317" s="28" t="s">
        <v>10</v>
      </c>
      <c r="B317" s="15" t="s">
        <v>145</v>
      </c>
      <c r="C317" s="15" t="s">
        <v>11</v>
      </c>
      <c r="D317" s="42">
        <f>15567.9-4078.3-6912.5+565.3</f>
        <v>5142.3999999999987</v>
      </c>
      <c r="E317" s="42">
        <v>15183</v>
      </c>
      <c r="F317" s="12">
        <f t="shared" si="18"/>
        <v>-10040.600000000002</v>
      </c>
      <c r="G317" s="42">
        <f>15567.9-4078.3-6912.5+565.3</f>
        <v>5142.3999999999987</v>
      </c>
      <c r="H317" s="17">
        <f>15567.9-4078.3-6912.5+565.3</f>
        <v>5142.3999999999987</v>
      </c>
    </row>
    <row r="318" spans="1:8" ht="51">
      <c r="A318" s="28" t="s">
        <v>12</v>
      </c>
      <c r="B318" s="15" t="s">
        <v>145</v>
      </c>
      <c r="C318" s="15" t="s">
        <v>13</v>
      </c>
      <c r="D318" s="42">
        <f>4505.1-1231.7-2087.5+170.7</f>
        <v>1356.6000000000006</v>
      </c>
      <c r="E318" s="42">
        <v>4585.26</v>
      </c>
      <c r="F318" s="12">
        <f t="shared" si="18"/>
        <v>-3228.66</v>
      </c>
      <c r="G318" s="42">
        <f>4505.1-1231.7-2087.5+170.7</f>
        <v>1356.6000000000006</v>
      </c>
      <c r="H318" s="17">
        <f>4505.1-1231.7-2087.5+170.7</f>
        <v>1356.6000000000006</v>
      </c>
    </row>
    <row r="319" spans="1:8" ht="25.5">
      <c r="A319" s="28" t="s">
        <v>146</v>
      </c>
      <c r="B319" s="15" t="s">
        <v>147</v>
      </c>
      <c r="C319" s="4"/>
      <c r="D319" s="42">
        <f>SUBTOTAL(9,D320:D325)</f>
        <v>5231.16</v>
      </c>
      <c r="E319" s="42">
        <f>SUBTOTAL(9,E320:E325)</f>
        <v>173.7</v>
      </c>
      <c r="F319" s="13">
        <f t="shared" si="18"/>
        <v>4855.78</v>
      </c>
      <c r="G319" s="42">
        <f>SUBTOTAL(9,G320:G325)</f>
        <v>5029.4799999999996</v>
      </c>
      <c r="H319" s="17">
        <f>SUBTOTAL(9,H320:H325)</f>
        <v>5029.4799999999996</v>
      </c>
    </row>
    <row r="320" spans="1:8" ht="25.5">
      <c r="A320" s="32" t="s">
        <v>15</v>
      </c>
      <c r="B320" s="15" t="s">
        <v>147</v>
      </c>
      <c r="C320" s="15" t="s">
        <v>16</v>
      </c>
      <c r="D320" s="42">
        <v>201.68</v>
      </c>
      <c r="E320" s="42"/>
      <c r="F320" s="13">
        <f t="shared" si="18"/>
        <v>0</v>
      </c>
      <c r="G320" s="42"/>
      <c r="H320" s="17"/>
    </row>
    <row r="321" spans="1:8" ht="25.5">
      <c r="A321" s="28" t="s">
        <v>19</v>
      </c>
      <c r="B321" s="15" t="s">
        <v>147</v>
      </c>
      <c r="C321" s="4">
        <v>244</v>
      </c>
      <c r="D321" s="42">
        <f>32.62+255.6+112.5+475+3560.36</f>
        <v>4436.08</v>
      </c>
      <c r="E321" s="42"/>
      <c r="F321" s="13">
        <f t="shared" si="18"/>
        <v>4436.08</v>
      </c>
      <c r="G321" s="17">
        <f>32.62+255.6+112.5+475+3560.36</f>
        <v>4436.08</v>
      </c>
      <c r="H321" s="17">
        <f>32.62+255.6+112.5+475+3560.36</f>
        <v>4436.08</v>
      </c>
    </row>
    <row r="322" spans="1:8" ht="89.25">
      <c r="A322" s="28" t="s">
        <v>148</v>
      </c>
      <c r="B322" s="15" t="s">
        <v>147</v>
      </c>
      <c r="C322" s="4" t="s">
        <v>149</v>
      </c>
      <c r="D322" s="42">
        <v>176.4</v>
      </c>
      <c r="E322" s="42">
        <v>173.7</v>
      </c>
      <c r="F322" s="13">
        <f t="shared" si="18"/>
        <v>2.7000000000000171</v>
      </c>
      <c r="G322" s="17">
        <v>176.4</v>
      </c>
      <c r="H322" s="17">
        <v>176.4</v>
      </c>
    </row>
    <row r="323" spans="1:8" s="47" customFormat="1" ht="25.5">
      <c r="A323" s="28" t="s">
        <v>30</v>
      </c>
      <c r="B323" s="15" t="s">
        <v>147</v>
      </c>
      <c r="C323" s="4" t="s">
        <v>31</v>
      </c>
      <c r="D323" s="42">
        <f>288.5</f>
        <v>288.5</v>
      </c>
      <c r="E323" s="42"/>
      <c r="F323" s="13">
        <f t="shared" si="18"/>
        <v>288.5</v>
      </c>
      <c r="G323" s="42">
        <f>288.5</f>
        <v>288.5</v>
      </c>
      <c r="H323" s="17">
        <f>288.5</f>
        <v>288.5</v>
      </c>
    </row>
    <row r="324" spans="1:8" s="47" customFormat="1">
      <c r="A324" s="28" t="s">
        <v>32</v>
      </c>
      <c r="B324" s="15" t="s">
        <v>147</v>
      </c>
      <c r="C324" s="4" t="s">
        <v>33</v>
      </c>
      <c r="D324" s="42">
        <v>80.7</v>
      </c>
      <c r="E324" s="42"/>
      <c r="F324" s="13">
        <f t="shared" si="18"/>
        <v>80.7</v>
      </c>
      <c r="G324" s="42">
        <v>80.7</v>
      </c>
      <c r="H324" s="17">
        <v>80.7</v>
      </c>
    </row>
    <row r="325" spans="1:8" s="47" customFormat="1">
      <c r="A325" s="28" t="s">
        <v>21</v>
      </c>
      <c r="B325" s="15" t="s">
        <v>147</v>
      </c>
      <c r="C325" s="4" t="s">
        <v>22</v>
      </c>
      <c r="D325" s="42">
        <f>47.8</f>
        <v>47.8</v>
      </c>
      <c r="E325" s="42"/>
      <c r="F325" s="13">
        <f t="shared" si="18"/>
        <v>47.8</v>
      </c>
      <c r="G325" s="42">
        <f>47.8</f>
        <v>47.8</v>
      </c>
      <c r="H325" s="17">
        <f>47.8</f>
        <v>47.8</v>
      </c>
    </row>
    <row r="326" spans="1:8" s="47" customFormat="1" ht="38.25">
      <c r="A326" s="14" t="s">
        <v>429</v>
      </c>
      <c r="B326" s="15" t="s">
        <v>428</v>
      </c>
      <c r="C326" s="4"/>
      <c r="D326" s="42">
        <f>D327</f>
        <v>839.5</v>
      </c>
      <c r="E326" s="42"/>
      <c r="F326" s="13">
        <f t="shared" si="18"/>
        <v>839.5</v>
      </c>
      <c r="G326" s="42">
        <f>G327</f>
        <v>839.5</v>
      </c>
      <c r="H326" s="17">
        <f>H327</f>
        <v>839.5</v>
      </c>
    </row>
    <row r="327" spans="1:8" ht="25.5">
      <c r="A327" s="14" t="s">
        <v>19</v>
      </c>
      <c r="B327" s="15" t="s">
        <v>428</v>
      </c>
      <c r="C327" s="4" t="s">
        <v>20</v>
      </c>
      <c r="D327" s="42">
        <f>814+25.5</f>
        <v>839.5</v>
      </c>
      <c r="E327" s="42"/>
      <c r="F327" s="13">
        <f t="shared" si="18"/>
        <v>839.5</v>
      </c>
      <c r="G327" s="42">
        <f>814+25.5</f>
        <v>839.5</v>
      </c>
      <c r="H327" s="17">
        <f>814+25.5</f>
        <v>839.5</v>
      </c>
    </row>
    <row r="328" spans="1:8">
      <c r="A328" s="28" t="s">
        <v>150</v>
      </c>
      <c r="B328" s="16" t="s">
        <v>151</v>
      </c>
      <c r="C328" s="4"/>
      <c r="D328" s="42">
        <f>D329+D330</f>
        <v>10218.1</v>
      </c>
      <c r="E328" s="42">
        <f>E329+E330</f>
        <v>16024.6</v>
      </c>
      <c r="F328" s="13">
        <f t="shared" si="18"/>
        <v>-5658.5</v>
      </c>
      <c r="G328" s="42">
        <f>G329+G330</f>
        <v>10366.1</v>
      </c>
      <c r="H328" s="17">
        <f>H329+H330</f>
        <v>10710.6</v>
      </c>
    </row>
    <row r="329" spans="1:8" ht="25.5">
      <c r="A329" s="28" t="s">
        <v>139</v>
      </c>
      <c r="B329" s="16" t="s">
        <v>151</v>
      </c>
      <c r="C329" s="4" t="s">
        <v>140</v>
      </c>
      <c r="D329" s="42">
        <v>4015</v>
      </c>
      <c r="E329" s="42">
        <f>4000+5969.5</f>
        <v>9969.5</v>
      </c>
      <c r="F329" s="13">
        <f t="shared" si="18"/>
        <v>-5806.5</v>
      </c>
      <c r="G329" s="42">
        <f>4015+148</f>
        <v>4163</v>
      </c>
      <c r="H329" s="17">
        <f>4015+492.5</f>
        <v>4507.5</v>
      </c>
    </row>
    <row r="330" spans="1:8" ht="25.5">
      <c r="A330" s="28" t="s">
        <v>19</v>
      </c>
      <c r="B330" s="16" t="s">
        <v>151</v>
      </c>
      <c r="C330" s="4" t="s">
        <v>20</v>
      </c>
      <c r="D330" s="42">
        <f>6055.1+148</f>
        <v>6203.1</v>
      </c>
      <c r="E330" s="42">
        <v>6055.1</v>
      </c>
      <c r="F330" s="13">
        <f t="shared" si="18"/>
        <v>148</v>
      </c>
      <c r="G330" s="42">
        <f>6055.1+148</f>
        <v>6203.1</v>
      </c>
      <c r="H330" s="17">
        <f>6055.1+148</f>
        <v>6203.1</v>
      </c>
    </row>
    <row r="331" spans="1:8" s="47" customFormat="1">
      <c r="A331" s="28" t="s">
        <v>162</v>
      </c>
      <c r="B331" s="15" t="s">
        <v>163</v>
      </c>
      <c r="C331" s="4"/>
      <c r="D331" s="42" t="e">
        <f>D335+D333+#REF!+D337</f>
        <v>#REF!</v>
      </c>
      <c r="E331" s="42" t="e">
        <f>E335+E333+#REF!+E337</f>
        <v>#REF!</v>
      </c>
      <c r="F331" s="13">
        <v>3607.0799999999981</v>
      </c>
      <c r="G331" s="42">
        <v>28182.48</v>
      </c>
      <c r="H331" s="17">
        <v>28182.48</v>
      </c>
    </row>
    <row r="332" spans="1:8" s="47" customFormat="1" ht="25.5">
      <c r="A332" s="28" t="s">
        <v>164</v>
      </c>
      <c r="B332" s="15" t="s">
        <v>165</v>
      </c>
      <c r="C332" s="15"/>
      <c r="D332" s="42">
        <f>D333+D336+D342</f>
        <v>15476.279999999999</v>
      </c>
      <c r="E332" s="42">
        <f>E333+E336</f>
        <v>10491.99</v>
      </c>
      <c r="F332" s="13">
        <f t="shared" ref="F332:F363" si="19">G332-E332</f>
        <v>4978.2899999999991</v>
      </c>
      <c r="G332" s="42">
        <f>G333+G336+G342</f>
        <v>15470.279999999999</v>
      </c>
      <c r="H332" s="17">
        <f>H333+H336+H342</f>
        <v>15470.279999999999</v>
      </c>
    </row>
    <row r="333" spans="1:8" ht="25.5">
      <c r="A333" s="28" t="s">
        <v>166</v>
      </c>
      <c r="B333" s="15" t="s">
        <v>167</v>
      </c>
      <c r="C333" s="4"/>
      <c r="D333" s="42">
        <f>SUBTOTAL(9,D334:D335)</f>
        <v>10318.6</v>
      </c>
      <c r="E333" s="42">
        <f>SUBTOTAL(9,E334:E335)</f>
        <v>10491.99</v>
      </c>
      <c r="F333" s="13">
        <f t="shared" si="19"/>
        <v>-173.38999999999942</v>
      </c>
      <c r="G333" s="42">
        <f>SUBTOTAL(9,G334:G335)</f>
        <v>10318.6</v>
      </c>
      <c r="H333" s="17">
        <f>SUBTOTAL(9,H334:H335)</f>
        <v>10318.6</v>
      </c>
    </row>
    <row r="334" spans="1:8" ht="25.5">
      <c r="A334" s="28" t="s">
        <v>10</v>
      </c>
      <c r="B334" s="15" t="s">
        <v>167</v>
      </c>
      <c r="C334" s="15" t="s">
        <v>11</v>
      </c>
      <c r="D334" s="42">
        <f>15762.6-845-6992.6</f>
        <v>7925</v>
      </c>
      <c r="E334" s="42">
        <v>8058.37</v>
      </c>
      <c r="F334" s="13">
        <f t="shared" si="19"/>
        <v>-133.36999999999989</v>
      </c>
      <c r="G334" s="42">
        <f>15762.6-845-6992.6</f>
        <v>7925</v>
      </c>
      <c r="H334" s="17">
        <f>15762.6-845-6992.6</f>
        <v>7925</v>
      </c>
    </row>
    <row r="335" spans="1:8" ht="51">
      <c r="A335" s="28" t="s">
        <v>12</v>
      </c>
      <c r="B335" s="15" t="s">
        <v>167</v>
      </c>
      <c r="C335" s="15" t="s">
        <v>13</v>
      </c>
      <c r="D335" s="42">
        <f>4760.3-255-2111.7</f>
        <v>2393.6000000000004</v>
      </c>
      <c r="E335" s="42">
        <v>2433.62</v>
      </c>
      <c r="F335" s="13">
        <f t="shared" si="19"/>
        <v>-40.019999999999527</v>
      </c>
      <c r="G335" s="42">
        <f>4760.3-255-2111.7</f>
        <v>2393.6000000000004</v>
      </c>
      <c r="H335" s="17">
        <f>4760.3-255-2111.7</f>
        <v>2393.6000000000004</v>
      </c>
    </row>
    <row r="336" spans="1:8" ht="25.5">
      <c r="A336" s="28" t="s">
        <v>168</v>
      </c>
      <c r="B336" s="15" t="s">
        <v>169</v>
      </c>
      <c r="C336" s="4"/>
      <c r="D336" s="42">
        <f>SUBTOTAL(9,D337:D341)</f>
        <v>1808.8799999999999</v>
      </c>
      <c r="E336" s="42">
        <f>SUBTOTAL(9,E337:E341)</f>
        <v>0</v>
      </c>
      <c r="F336" s="13">
        <f t="shared" si="19"/>
        <v>1802.8799999999999</v>
      </c>
      <c r="G336" s="42">
        <f>SUBTOTAL(9,G337:G341)</f>
        <v>1802.8799999999999</v>
      </c>
      <c r="H336" s="17">
        <f>SUBTOTAL(9,H337:H341)</f>
        <v>1802.8799999999999</v>
      </c>
    </row>
    <row r="337" spans="1:8" ht="25.5">
      <c r="A337" s="32" t="s">
        <v>15</v>
      </c>
      <c r="B337" s="15" t="s">
        <v>169</v>
      </c>
      <c r="C337" s="15" t="s">
        <v>16</v>
      </c>
      <c r="D337" s="42">
        <v>6</v>
      </c>
      <c r="E337" s="42"/>
      <c r="F337" s="13">
        <f t="shared" si="19"/>
        <v>0</v>
      </c>
      <c r="G337" s="42"/>
      <c r="H337" s="17"/>
    </row>
    <row r="338" spans="1:8" ht="25.5">
      <c r="A338" s="28" t="s">
        <v>19</v>
      </c>
      <c r="B338" s="15" t="s">
        <v>169</v>
      </c>
      <c r="C338" s="4">
        <v>244</v>
      </c>
      <c r="D338" s="42">
        <f>33.48+939.1+40+174.7+338</f>
        <v>1525.28</v>
      </c>
      <c r="E338" s="42"/>
      <c r="F338" s="13">
        <f t="shared" si="19"/>
        <v>1525.28</v>
      </c>
      <c r="G338" s="42">
        <f>33.48+939.1+40+174.7+338</f>
        <v>1525.28</v>
      </c>
      <c r="H338" s="17">
        <f>33.48+939.1+40+174.7+338</f>
        <v>1525.28</v>
      </c>
    </row>
    <row r="339" spans="1:8" ht="25.5">
      <c r="A339" s="28" t="s">
        <v>30</v>
      </c>
      <c r="B339" s="15" t="s">
        <v>169</v>
      </c>
      <c r="C339" s="4" t="s">
        <v>31</v>
      </c>
      <c r="D339" s="42">
        <f>56.2+220.8</f>
        <v>277</v>
      </c>
      <c r="E339" s="42"/>
      <c r="F339" s="13">
        <f t="shared" si="19"/>
        <v>277</v>
      </c>
      <c r="G339" s="42">
        <f>56.2+220.8</f>
        <v>277</v>
      </c>
      <c r="H339" s="17">
        <f>56.2+220.8</f>
        <v>277</v>
      </c>
    </row>
    <row r="340" spans="1:8">
      <c r="A340" s="28" t="s">
        <v>32</v>
      </c>
      <c r="B340" s="15" t="s">
        <v>169</v>
      </c>
      <c r="C340" s="4" t="s">
        <v>33</v>
      </c>
      <c r="D340" s="42">
        <v>0.6</v>
      </c>
      <c r="E340" s="42"/>
      <c r="F340" s="13">
        <f t="shared" si="19"/>
        <v>0.6</v>
      </c>
      <c r="G340" s="42">
        <v>0.6</v>
      </c>
      <c r="H340" s="17">
        <v>0.6</v>
      </c>
    </row>
    <row r="341" spans="1:8">
      <c r="A341" s="28" t="s">
        <v>21</v>
      </c>
      <c r="B341" s="15" t="s">
        <v>169</v>
      </c>
      <c r="C341" s="4" t="s">
        <v>22</v>
      </c>
      <c r="D341" s="42"/>
      <c r="E341" s="42"/>
      <c r="F341" s="13">
        <f t="shared" si="19"/>
        <v>0</v>
      </c>
      <c r="G341" s="42"/>
      <c r="H341" s="17"/>
    </row>
    <row r="342" spans="1:8" ht="25.5">
      <c r="A342" s="28" t="s">
        <v>434</v>
      </c>
      <c r="B342" s="15" t="s">
        <v>433</v>
      </c>
      <c r="C342" s="4"/>
      <c r="D342" s="42">
        <f>D343</f>
        <v>3348.8</v>
      </c>
      <c r="E342" s="42"/>
      <c r="F342" s="13">
        <f t="shared" si="19"/>
        <v>3348.8</v>
      </c>
      <c r="G342" s="42">
        <f>G343</f>
        <v>3348.8</v>
      </c>
      <c r="H342" s="17">
        <f>H343</f>
        <v>3348.8</v>
      </c>
    </row>
    <row r="343" spans="1:8" ht="25.5">
      <c r="A343" s="28" t="s">
        <v>19</v>
      </c>
      <c r="B343" s="15" t="s">
        <v>433</v>
      </c>
      <c r="C343" s="4" t="s">
        <v>20</v>
      </c>
      <c r="D343" s="42">
        <v>3348.8</v>
      </c>
      <c r="E343" s="42"/>
      <c r="F343" s="13">
        <f t="shared" si="19"/>
        <v>3348.8</v>
      </c>
      <c r="G343" s="42">
        <v>3348.8</v>
      </c>
      <c r="H343" s="17">
        <v>3348.8</v>
      </c>
    </row>
    <row r="344" spans="1:8">
      <c r="A344" s="28" t="s">
        <v>170</v>
      </c>
      <c r="B344" s="15" t="s">
        <v>171</v>
      </c>
      <c r="C344" s="4"/>
      <c r="D344" s="42">
        <f>D345</f>
        <v>0</v>
      </c>
      <c r="E344" s="42">
        <f>E345</f>
        <v>1157.8</v>
      </c>
      <c r="F344" s="13">
        <f t="shared" si="19"/>
        <v>-1157.8</v>
      </c>
      <c r="G344" s="42">
        <f>G345</f>
        <v>0</v>
      </c>
      <c r="H344" s="17">
        <f>H345</f>
        <v>0</v>
      </c>
    </row>
    <row r="345" spans="1:8" ht="25.5">
      <c r="A345" s="28" t="s">
        <v>19</v>
      </c>
      <c r="B345" s="15" t="s">
        <v>171</v>
      </c>
      <c r="C345" s="4" t="s">
        <v>20</v>
      </c>
      <c r="D345" s="42"/>
      <c r="E345" s="42">
        <f>996.8+145+16</f>
        <v>1157.8</v>
      </c>
      <c r="F345" s="13">
        <f t="shared" si="19"/>
        <v>-1157.8</v>
      </c>
      <c r="G345" s="42"/>
      <c r="H345" s="17"/>
    </row>
    <row r="346" spans="1:8" ht="191.25">
      <c r="A346" s="28" t="s">
        <v>176</v>
      </c>
      <c r="B346" s="15" t="s">
        <v>177</v>
      </c>
      <c r="C346" s="4"/>
      <c r="D346" s="42">
        <f>D347</f>
        <v>2734.2</v>
      </c>
      <c r="E346" s="42">
        <f>E347</f>
        <v>4599.6000000000004</v>
      </c>
      <c r="F346" s="13">
        <f t="shared" si="19"/>
        <v>-1865.4000000000005</v>
      </c>
      <c r="G346" s="42">
        <f>G347</f>
        <v>2734.2</v>
      </c>
      <c r="H346" s="17">
        <f>H347</f>
        <v>2734.2</v>
      </c>
    </row>
    <row r="347" spans="1:8" ht="63.75">
      <c r="A347" s="28" t="s">
        <v>61</v>
      </c>
      <c r="B347" s="15" t="s">
        <v>177</v>
      </c>
      <c r="C347" s="4" t="s">
        <v>62</v>
      </c>
      <c r="D347" s="42">
        <v>2734.2</v>
      </c>
      <c r="E347" s="42">
        <v>4599.6000000000004</v>
      </c>
      <c r="F347" s="13">
        <f t="shared" si="19"/>
        <v>-1865.4000000000005</v>
      </c>
      <c r="G347" s="42">
        <v>2734.2</v>
      </c>
      <c r="H347" s="17">
        <v>2734.2</v>
      </c>
    </row>
    <row r="348" spans="1:8" ht="63.75">
      <c r="A348" s="28" t="s">
        <v>178</v>
      </c>
      <c r="B348" s="15" t="s">
        <v>179</v>
      </c>
      <c r="C348" s="4"/>
      <c r="D348" s="42">
        <f>D349</f>
        <v>99.7</v>
      </c>
      <c r="E348" s="42">
        <f>E349</f>
        <v>115.4</v>
      </c>
      <c r="F348" s="13">
        <f t="shared" si="19"/>
        <v>-15.700000000000003</v>
      </c>
      <c r="G348" s="42">
        <f>G349</f>
        <v>99.7</v>
      </c>
      <c r="H348" s="17">
        <f>H349</f>
        <v>99.7</v>
      </c>
    </row>
    <row r="349" spans="1:8" ht="63.75">
      <c r="A349" s="28" t="s">
        <v>61</v>
      </c>
      <c r="B349" s="15" t="s">
        <v>179</v>
      </c>
      <c r="C349" s="4" t="s">
        <v>62</v>
      </c>
      <c r="D349" s="42">
        <v>99.7</v>
      </c>
      <c r="E349" s="42">
        <v>115.4</v>
      </c>
      <c r="F349" s="13">
        <f t="shared" si="19"/>
        <v>-15.700000000000003</v>
      </c>
      <c r="G349" s="42">
        <v>99.7</v>
      </c>
      <c r="H349" s="17">
        <v>99.7</v>
      </c>
    </row>
    <row r="350" spans="1:8" ht="89.25">
      <c r="A350" s="28" t="s">
        <v>172</v>
      </c>
      <c r="B350" s="15" t="s">
        <v>173</v>
      </c>
      <c r="C350" s="4"/>
      <c r="D350" s="42">
        <f>D351</f>
        <v>909</v>
      </c>
      <c r="E350" s="42">
        <f>E351</f>
        <v>4209.5</v>
      </c>
      <c r="F350" s="13">
        <f t="shared" si="19"/>
        <v>-3300.5</v>
      </c>
      <c r="G350" s="42">
        <f>G351</f>
        <v>909</v>
      </c>
      <c r="H350" s="17">
        <f>H351</f>
        <v>909</v>
      </c>
    </row>
    <row r="351" spans="1:8" ht="25.5">
      <c r="A351" s="28" t="s">
        <v>19</v>
      </c>
      <c r="B351" s="15" t="s">
        <v>173</v>
      </c>
      <c r="C351" s="4" t="s">
        <v>20</v>
      </c>
      <c r="D351" s="42">
        <f>900+9</f>
        <v>909</v>
      </c>
      <c r="E351" s="42">
        <v>4209.5</v>
      </c>
      <c r="F351" s="13">
        <f t="shared" si="19"/>
        <v>-3300.5</v>
      </c>
      <c r="G351" s="42">
        <f>900+9</f>
        <v>909</v>
      </c>
      <c r="H351" s="17">
        <f>900+9</f>
        <v>909</v>
      </c>
    </row>
    <row r="352" spans="1:8" ht="51">
      <c r="A352" s="28" t="s">
        <v>174</v>
      </c>
      <c r="B352" s="15" t="s">
        <v>175</v>
      </c>
      <c r="C352" s="4"/>
      <c r="D352" s="42">
        <f>D353</f>
        <v>0</v>
      </c>
      <c r="E352" s="42">
        <f>E353</f>
        <v>62</v>
      </c>
      <c r="F352" s="13">
        <f t="shared" si="19"/>
        <v>-62</v>
      </c>
      <c r="G352" s="42">
        <f>G353</f>
        <v>0</v>
      </c>
      <c r="H352" s="17">
        <f>H353</f>
        <v>0</v>
      </c>
    </row>
    <row r="353" spans="1:8" ht="63.75">
      <c r="A353" s="28" t="s">
        <v>61</v>
      </c>
      <c r="B353" s="15" t="s">
        <v>175</v>
      </c>
      <c r="C353" s="4" t="s">
        <v>62</v>
      </c>
      <c r="D353" s="42"/>
      <c r="E353" s="42">
        <v>62</v>
      </c>
      <c r="F353" s="13">
        <f t="shared" si="19"/>
        <v>-62</v>
      </c>
      <c r="G353" s="42"/>
      <c r="H353" s="17"/>
    </row>
    <row r="354" spans="1:8" s="47" customFormat="1" ht="25.5">
      <c r="A354" s="28" t="s">
        <v>155</v>
      </c>
      <c r="B354" s="15" t="s">
        <v>156</v>
      </c>
      <c r="C354" s="4"/>
      <c r="D354" s="42">
        <f>D355+D365</f>
        <v>8647.5999999999985</v>
      </c>
      <c r="E354" s="42">
        <f>E355</f>
        <v>7036.7800000000007</v>
      </c>
      <c r="F354" s="13">
        <f t="shared" si="19"/>
        <v>1498.8199999999979</v>
      </c>
      <c r="G354" s="42">
        <f>G355+G365</f>
        <v>8535.5999999999985</v>
      </c>
      <c r="H354" s="17">
        <f>H355+H365</f>
        <v>8535.5999999999985</v>
      </c>
    </row>
    <row r="355" spans="1:8" s="47" customFormat="1" ht="25.5">
      <c r="A355" s="28" t="s">
        <v>157</v>
      </c>
      <c r="B355" s="15" t="s">
        <v>158</v>
      </c>
      <c r="C355" s="15"/>
      <c r="D355" s="42">
        <f>D356+D359</f>
        <v>8099.8099999999986</v>
      </c>
      <c r="E355" s="42">
        <f>E356+E359</f>
        <v>7036.7800000000007</v>
      </c>
      <c r="F355" s="13">
        <f t="shared" si="19"/>
        <v>951.02999999999793</v>
      </c>
      <c r="G355" s="42">
        <f>G356+G359</f>
        <v>7987.8099999999986</v>
      </c>
      <c r="H355" s="17">
        <f>H356+H359</f>
        <v>7987.8099999999986</v>
      </c>
    </row>
    <row r="356" spans="1:8" s="47" customFormat="1" ht="25.5">
      <c r="A356" s="28" t="s">
        <v>159</v>
      </c>
      <c r="B356" s="15" t="s">
        <v>160</v>
      </c>
      <c r="C356" s="4"/>
      <c r="D356" s="42">
        <f>SUBTOTAL(9,D357:D358)</f>
        <v>7368.6999999999989</v>
      </c>
      <c r="E356" s="42">
        <f>SUBTOTAL(9,E357:E358)</f>
        <v>7036.7800000000007</v>
      </c>
      <c r="F356" s="13">
        <f t="shared" si="19"/>
        <v>331.91999999999825</v>
      </c>
      <c r="G356" s="42">
        <f>SUBTOTAL(9,G357:G358)</f>
        <v>7368.6999999999989</v>
      </c>
      <c r="H356" s="17">
        <f>SUBTOTAL(9,H357:H358)</f>
        <v>7368.6999999999989</v>
      </c>
    </row>
    <row r="357" spans="1:8" ht="25.5">
      <c r="A357" s="28" t="s">
        <v>10</v>
      </c>
      <c r="B357" s="15" t="s">
        <v>160</v>
      </c>
      <c r="C357" s="15" t="s">
        <v>11</v>
      </c>
      <c r="D357" s="42">
        <f>6197.2-537.6</f>
        <v>5659.5999999999995</v>
      </c>
      <c r="E357" s="42">
        <v>5404.6</v>
      </c>
      <c r="F357" s="13">
        <f t="shared" si="19"/>
        <v>254.99999999999909</v>
      </c>
      <c r="G357" s="42">
        <f>6197.2-537.6</f>
        <v>5659.5999999999995</v>
      </c>
      <c r="H357" s="17">
        <f>6197.2-537.6</f>
        <v>5659.5999999999995</v>
      </c>
    </row>
    <row r="358" spans="1:8" ht="51">
      <c r="A358" s="28" t="s">
        <v>12</v>
      </c>
      <c r="B358" s="15" t="s">
        <v>160</v>
      </c>
      <c r="C358" s="15" t="s">
        <v>13</v>
      </c>
      <c r="D358" s="42">
        <f>1871.5-162.4</f>
        <v>1709.1</v>
      </c>
      <c r="E358" s="42">
        <v>1632.18</v>
      </c>
      <c r="F358" s="13">
        <f t="shared" si="19"/>
        <v>76.919999999999845</v>
      </c>
      <c r="G358" s="42">
        <f>1871.5-162.4</f>
        <v>1709.1</v>
      </c>
      <c r="H358" s="17">
        <f>1871.5-162.4</f>
        <v>1709.1</v>
      </c>
    </row>
    <row r="359" spans="1:8" ht="25.5">
      <c r="A359" s="28" t="s">
        <v>430</v>
      </c>
      <c r="B359" s="15" t="s">
        <v>161</v>
      </c>
      <c r="C359" s="4"/>
      <c r="D359" s="42">
        <f>SUBTOTAL(9,D360:D364)</f>
        <v>731.11</v>
      </c>
      <c r="E359" s="42">
        <f>SUBTOTAL(9,E360:E364)</f>
        <v>0</v>
      </c>
      <c r="F359" s="13">
        <f t="shared" si="19"/>
        <v>619.11</v>
      </c>
      <c r="G359" s="42">
        <f>SUBTOTAL(9,G360:G364)</f>
        <v>619.11</v>
      </c>
      <c r="H359" s="17">
        <f>SUBTOTAL(9,H360:H364)</f>
        <v>619.11</v>
      </c>
    </row>
    <row r="360" spans="1:8" ht="25.5">
      <c r="A360" s="32" t="s">
        <v>15</v>
      </c>
      <c r="B360" s="15" t="s">
        <v>161</v>
      </c>
      <c r="C360" s="15" t="s">
        <v>16</v>
      </c>
      <c r="D360" s="42">
        <v>112</v>
      </c>
      <c r="E360" s="42"/>
      <c r="F360" s="13">
        <f t="shared" si="19"/>
        <v>0</v>
      </c>
      <c r="G360" s="42"/>
      <c r="H360" s="17"/>
    </row>
    <row r="361" spans="1:8" ht="25.5">
      <c r="A361" s="28" t="s">
        <v>19</v>
      </c>
      <c r="B361" s="15" t="s">
        <v>161</v>
      </c>
      <c r="C361" s="4">
        <v>244</v>
      </c>
      <c r="D361" s="42">
        <f>57.36+91.7+49.93+58.4+284.74</f>
        <v>542.13</v>
      </c>
      <c r="E361" s="42"/>
      <c r="F361" s="13">
        <f t="shared" si="19"/>
        <v>542.13</v>
      </c>
      <c r="G361" s="42">
        <f>57.36+91.7+49.93+58.4+284.74</f>
        <v>542.13</v>
      </c>
      <c r="H361" s="17">
        <f>57.36+91.7+49.93+58.4+284.74</f>
        <v>542.13</v>
      </c>
    </row>
    <row r="362" spans="1:8" ht="25.5">
      <c r="A362" s="28" t="s">
        <v>30</v>
      </c>
      <c r="B362" s="15" t="s">
        <v>161</v>
      </c>
      <c r="C362" s="4" t="s">
        <v>31</v>
      </c>
      <c r="D362" s="42">
        <v>50.58</v>
      </c>
      <c r="E362" s="42"/>
      <c r="F362" s="13">
        <f t="shared" si="19"/>
        <v>50.58</v>
      </c>
      <c r="G362" s="42">
        <v>50.58</v>
      </c>
      <c r="H362" s="17">
        <v>50.58</v>
      </c>
    </row>
    <row r="363" spans="1:8" s="47" customFormat="1">
      <c r="A363" s="28" t="s">
        <v>32</v>
      </c>
      <c r="B363" s="15" t="s">
        <v>161</v>
      </c>
      <c r="C363" s="4" t="s">
        <v>33</v>
      </c>
      <c r="D363" s="42">
        <v>2</v>
      </c>
      <c r="E363" s="42"/>
      <c r="F363" s="13">
        <f t="shared" si="19"/>
        <v>2</v>
      </c>
      <c r="G363" s="42">
        <v>2</v>
      </c>
      <c r="H363" s="17">
        <v>2</v>
      </c>
    </row>
    <row r="364" spans="1:8">
      <c r="A364" s="28" t="s">
        <v>21</v>
      </c>
      <c r="B364" s="15" t="s">
        <v>161</v>
      </c>
      <c r="C364" s="4" t="s">
        <v>22</v>
      </c>
      <c r="D364" s="42">
        <f>0.4+24</f>
        <v>24.4</v>
      </c>
      <c r="E364" s="42"/>
      <c r="F364" s="13">
        <f t="shared" ref="F364:F395" si="20">G364-E364</f>
        <v>24.4</v>
      </c>
      <c r="G364" s="42">
        <f>0.4+24</f>
        <v>24.4</v>
      </c>
      <c r="H364" s="17">
        <f>0.4+24</f>
        <v>24.4</v>
      </c>
    </row>
    <row r="365" spans="1:8" ht="38.25">
      <c r="A365" s="14" t="s">
        <v>431</v>
      </c>
      <c r="B365" s="15" t="s">
        <v>432</v>
      </c>
      <c r="C365" s="4"/>
      <c r="D365" s="42">
        <f>D366</f>
        <v>547.79</v>
      </c>
      <c r="E365" s="42"/>
      <c r="F365" s="13">
        <f t="shared" si="20"/>
        <v>547.79</v>
      </c>
      <c r="G365" s="42">
        <f>G366</f>
        <v>547.79</v>
      </c>
      <c r="H365" s="17">
        <f>H366</f>
        <v>547.79</v>
      </c>
    </row>
    <row r="366" spans="1:8" ht="25.5">
      <c r="A366" s="14" t="s">
        <v>19</v>
      </c>
      <c r="B366" s="15" t="s">
        <v>432</v>
      </c>
      <c r="C366" s="4" t="s">
        <v>20</v>
      </c>
      <c r="D366" s="42">
        <v>547.79</v>
      </c>
      <c r="E366" s="42"/>
      <c r="F366" s="13">
        <f t="shared" si="20"/>
        <v>547.79</v>
      </c>
      <c r="G366" s="42">
        <v>547.79</v>
      </c>
      <c r="H366" s="17">
        <v>547.79</v>
      </c>
    </row>
    <row r="367" spans="1:8" ht="25.5">
      <c r="A367" s="28" t="s">
        <v>310</v>
      </c>
      <c r="B367" s="15" t="s">
        <v>416</v>
      </c>
      <c r="C367" s="11"/>
      <c r="D367" s="42">
        <f>D368</f>
        <v>2376.02</v>
      </c>
      <c r="E367" s="42">
        <f>E368</f>
        <v>3526.1000000000004</v>
      </c>
      <c r="F367" s="13">
        <f t="shared" si="20"/>
        <v>-1189.0800000000004</v>
      </c>
      <c r="G367" s="42">
        <f>G368</f>
        <v>2337.02</v>
      </c>
      <c r="H367" s="17">
        <f>H368</f>
        <v>2337.02</v>
      </c>
    </row>
    <row r="368" spans="1:8" ht="51">
      <c r="A368" s="28" t="s">
        <v>418</v>
      </c>
      <c r="B368" s="15" t="s">
        <v>417</v>
      </c>
      <c r="C368" s="11"/>
      <c r="D368" s="42">
        <f>D369</f>
        <v>2376.02</v>
      </c>
      <c r="E368" s="42">
        <f>E369</f>
        <v>3526.1000000000004</v>
      </c>
      <c r="F368" s="13">
        <f t="shared" si="20"/>
        <v>-1189.0800000000004</v>
      </c>
      <c r="G368" s="42">
        <f>G369</f>
        <v>2337.02</v>
      </c>
      <c r="H368" s="17">
        <f>H369</f>
        <v>2337.02</v>
      </c>
    </row>
    <row r="369" spans="1:8" ht="38.25">
      <c r="A369" s="28" t="s">
        <v>152</v>
      </c>
      <c r="B369" s="15" t="s">
        <v>419</v>
      </c>
      <c r="C369" s="15"/>
      <c r="D369" s="42">
        <f>D370+D373</f>
        <v>2376.02</v>
      </c>
      <c r="E369" s="42">
        <f>E370+E373</f>
        <v>3526.1000000000004</v>
      </c>
      <c r="F369" s="13">
        <f t="shared" si="20"/>
        <v>-1189.0800000000004</v>
      </c>
      <c r="G369" s="42">
        <f>G370+G373</f>
        <v>2337.02</v>
      </c>
      <c r="H369" s="17">
        <f>H370+H373</f>
        <v>2337.02</v>
      </c>
    </row>
    <row r="370" spans="1:8" ht="38.25">
      <c r="A370" s="28" t="s">
        <v>153</v>
      </c>
      <c r="B370" s="15" t="s">
        <v>420</v>
      </c>
      <c r="C370" s="4"/>
      <c r="D370" s="42">
        <f>SUBTOTAL(9,D371:D372)</f>
        <v>2250.62</v>
      </c>
      <c r="E370" s="42">
        <f>SUBTOTAL(9,E371:E372)</f>
        <v>3526.1000000000004</v>
      </c>
      <c r="F370" s="13">
        <f t="shared" si="20"/>
        <v>-1275.4800000000005</v>
      </c>
      <c r="G370" s="42">
        <f>SUBTOTAL(9,G371:G372)</f>
        <v>2250.62</v>
      </c>
      <c r="H370" s="17">
        <f>SUBTOTAL(9,H371:H372)</f>
        <v>2250.62</v>
      </c>
    </row>
    <row r="371" spans="1:8" ht="38.25">
      <c r="A371" s="28" t="s">
        <v>104</v>
      </c>
      <c r="B371" s="15" t="s">
        <v>420</v>
      </c>
      <c r="C371" s="15" t="s">
        <v>42</v>
      </c>
      <c r="D371" s="42">
        <f>2074.21-345.6</f>
        <v>1728.6100000000001</v>
      </c>
      <c r="E371" s="42">
        <v>2710.3</v>
      </c>
      <c r="F371" s="13">
        <f t="shared" si="20"/>
        <v>-981.69</v>
      </c>
      <c r="G371" s="42">
        <f>2074.21-345.6</f>
        <v>1728.6100000000001</v>
      </c>
      <c r="H371" s="17">
        <f>2074.21-345.6</f>
        <v>1728.6100000000001</v>
      </c>
    </row>
    <row r="372" spans="1:8" ht="51">
      <c r="A372" s="28" t="s">
        <v>43</v>
      </c>
      <c r="B372" s="15" t="s">
        <v>420</v>
      </c>
      <c r="C372" s="15" t="s">
        <v>44</v>
      </c>
      <c r="D372" s="42">
        <f>626.41-104.4</f>
        <v>522.01</v>
      </c>
      <c r="E372" s="42">
        <v>815.8</v>
      </c>
      <c r="F372" s="13">
        <f t="shared" si="20"/>
        <v>-293.78999999999996</v>
      </c>
      <c r="G372" s="42">
        <f>626.41-104.4</f>
        <v>522.01</v>
      </c>
      <c r="H372" s="17">
        <f>626.41-104.4</f>
        <v>522.01</v>
      </c>
    </row>
    <row r="373" spans="1:8" ht="25.5">
      <c r="A373" s="28" t="s">
        <v>154</v>
      </c>
      <c r="B373" s="15" t="s">
        <v>421</v>
      </c>
      <c r="C373" s="4"/>
      <c r="D373" s="42">
        <f>SUM(D374:D376)</f>
        <v>125.4</v>
      </c>
      <c r="E373" s="42">
        <f>SUM(E374:E376)</f>
        <v>0</v>
      </c>
      <c r="F373" s="13">
        <f t="shared" si="20"/>
        <v>86.4</v>
      </c>
      <c r="G373" s="42">
        <f>SUM(G374:G376)</f>
        <v>86.4</v>
      </c>
      <c r="H373" s="17">
        <f>SUM(H374:H376)</f>
        <v>86.4</v>
      </c>
    </row>
    <row r="374" spans="1:8" ht="38.25">
      <c r="A374" s="28" t="s">
        <v>46</v>
      </c>
      <c r="B374" s="15" t="s">
        <v>421</v>
      </c>
      <c r="C374" s="15" t="s">
        <v>47</v>
      </c>
      <c r="D374" s="42">
        <v>39</v>
      </c>
      <c r="E374" s="42"/>
      <c r="F374" s="13">
        <f t="shared" si="20"/>
        <v>0</v>
      </c>
      <c r="G374" s="42"/>
      <c r="H374" s="17"/>
    </row>
    <row r="375" spans="1:8" ht="25.5">
      <c r="A375" s="28" t="s">
        <v>19</v>
      </c>
      <c r="B375" s="15" t="s">
        <v>421</v>
      </c>
      <c r="C375" s="4">
        <v>244</v>
      </c>
      <c r="D375" s="42">
        <f>23+27+36</f>
        <v>86</v>
      </c>
      <c r="E375" s="42"/>
      <c r="F375" s="13">
        <f t="shared" si="20"/>
        <v>86</v>
      </c>
      <c r="G375" s="42">
        <f>23+27+36</f>
        <v>86</v>
      </c>
      <c r="H375" s="17">
        <f>23+27+36</f>
        <v>86</v>
      </c>
    </row>
    <row r="376" spans="1:8">
      <c r="A376" s="28" t="s">
        <v>21</v>
      </c>
      <c r="B376" s="15" t="s">
        <v>421</v>
      </c>
      <c r="C376" s="4" t="s">
        <v>22</v>
      </c>
      <c r="D376" s="42">
        <v>0.4</v>
      </c>
      <c r="E376" s="42"/>
      <c r="F376" s="13">
        <f t="shared" si="20"/>
        <v>0.4</v>
      </c>
      <c r="G376" s="42">
        <v>0.4</v>
      </c>
      <c r="H376" s="17">
        <v>0.4</v>
      </c>
    </row>
    <row r="377" spans="1:8" ht="38.25">
      <c r="A377" s="28" t="s">
        <v>300</v>
      </c>
      <c r="B377" s="16" t="s">
        <v>302</v>
      </c>
      <c r="C377" s="4"/>
      <c r="D377" s="41" t="e">
        <f>#REF!</f>
        <v>#REF!</v>
      </c>
      <c r="E377" s="41"/>
      <c r="F377" s="13">
        <v>87330.41</v>
      </c>
      <c r="G377" s="41">
        <v>178446.41</v>
      </c>
      <c r="H377" s="13">
        <v>100755.41</v>
      </c>
    </row>
    <row r="378" spans="1:8" ht="25.5">
      <c r="A378" s="30" t="s">
        <v>301</v>
      </c>
      <c r="B378" s="39" t="s">
        <v>303</v>
      </c>
      <c r="C378" s="15"/>
      <c r="D378" s="41" t="e">
        <f>D379</f>
        <v>#REF!</v>
      </c>
      <c r="E378" s="41"/>
      <c r="F378" s="13">
        <f t="shared" si="20"/>
        <v>161728.70000000001</v>
      </c>
      <c r="G378" s="41">
        <f>G379</f>
        <v>161728.70000000001</v>
      </c>
      <c r="H378" s="13">
        <f>H379</f>
        <v>94972</v>
      </c>
    </row>
    <row r="379" spans="1:8" ht="25.5">
      <c r="A379" s="14" t="s">
        <v>121</v>
      </c>
      <c r="B379" s="39" t="s">
        <v>352</v>
      </c>
      <c r="C379" s="4"/>
      <c r="D379" s="41" t="e">
        <f>#REF!</f>
        <v>#REF!</v>
      </c>
      <c r="E379" s="41"/>
      <c r="F379" s="13">
        <f t="shared" si="20"/>
        <v>161728.70000000001</v>
      </c>
      <c r="G379" s="41">
        <f>G380+G382+G384+G386+G388+G390+G392+G394+G398+G401+G406+G409+G414+G417+G422+G425+G428+G431</f>
        <v>161728.70000000001</v>
      </c>
      <c r="H379" s="13">
        <f>H380+H382+H384+H386+H388+H390+H392+H394+H398+H401+H406+H409+H414+H417+H422+H425+H428+H431</f>
        <v>94972</v>
      </c>
    </row>
    <row r="380" spans="1:8" ht="25.5">
      <c r="A380" s="28" t="s">
        <v>207</v>
      </c>
      <c r="B380" s="15" t="s">
        <v>361</v>
      </c>
      <c r="C380" s="15"/>
      <c r="D380" s="42">
        <f>D381</f>
        <v>2015</v>
      </c>
      <c r="E380" s="42">
        <f>E381</f>
        <v>1000</v>
      </c>
      <c r="F380" s="13">
        <f t="shared" si="20"/>
        <v>1000</v>
      </c>
      <c r="G380" s="42">
        <f>G381</f>
        <v>2000</v>
      </c>
      <c r="H380" s="17">
        <f>H381</f>
        <v>2000</v>
      </c>
    </row>
    <row r="381" spans="1:8">
      <c r="A381" s="35" t="s">
        <v>208</v>
      </c>
      <c r="B381" s="15" t="s">
        <v>361</v>
      </c>
      <c r="C381" s="15" t="s">
        <v>209</v>
      </c>
      <c r="D381" s="42">
        <v>2015</v>
      </c>
      <c r="E381" s="42">
        <v>1000</v>
      </c>
      <c r="F381" s="13">
        <f t="shared" si="20"/>
        <v>1000</v>
      </c>
      <c r="G381" s="42">
        <v>2000</v>
      </c>
      <c r="H381" s="17">
        <v>2000</v>
      </c>
    </row>
    <row r="382" spans="1:8" ht="25.5">
      <c r="A382" s="28" t="s">
        <v>130</v>
      </c>
      <c r="B382" s="15" t="s">
        <v>447</v>
      </c>
      <c r="C382" s="15"/>
      <c r="D382" s="42">
        <f>D383</f>
        <v>47000</v>
      </c>
      <c r="E382" s="42">
        <f>E383</f>
        <v>44707.8</v>
      </c>
      <c r="F382" s="13">
        <f t="shared" si="20"/>
        <v>2292.1999999999971</v>
      </c>
      <c r="G382" s="42">
        <f>G383</f>
        <v>47000</v>
      </c>
      <c r="H382" s="17">
        <f>H383</f>
        <v>47000</v>
      </c>
    </row>
    <row r="383" spans="1:8">
      <c r="A383" s="28" t="s">
        <v>131</v>
      </c>
      <c r="B383" s="15" t="s">
        <v>447</v>
      </c>
      <c r="C383" s="15" t="s">
        <v>132</v>
      </c>
      <c r="D383" s="42">
        <v>47000</v>
      </c>
      <c r="E383" s="42">
        <v>44707.8</v>
      </c>
      <c r="F383" s="13">
        <f t="shared" si="20"/>
        <v>2292.1999999999971</v>
      </c>
      <c r="G383" s="42">
        <v>47000</v>
      </c>
      <c r="H383" s="17">
        <v>47000</v>
      </c>
    </row>
    <row r="384" spans="1:8" ht="25.5">
      <c r="A384" s="28" t="s">
        <v>134</v>
      </c>
      <c r="B384" s="15" t="s">
        <v>450</v>
      </c>
      <c r="C384" s="15"/>
      <c r="D384" s="41">
        <f>D385</f>
        <v>37920</v>
      </c>
      <c r="E384" s="41">
        <f>E385</f>
        <v>30105.4</v>
      </c>
      <c r="F384" s="13">
        <f t="shared" si="20"/>
        <v>7814.5999999999985</v>
      </c>
      <c r="G384" s="41">
        <f>G385</f>
        <v>37920</v>
      </c>
      <c r="H384" s="13">
        <f>H385</f>
        <v>37920</v>
      </c>
    </row>
    <row r="385" spans="1:8">
      <c r="A385" s="28" t="s">
        <v>135</v>
      </c>
      <c r="B385" s="15" t="s">
        <v>450</v>
      </c>
      <c r="C385" s="15" t="s">
        <v>136</v>
      </c>
      <c r="D385" s="42">
        <v>37920</v>
      </c>
      <c r="E385" s="42">
        <v>30105.4</v>
      </c>
      <c r="F385" s="13">
        <f t="shared" si="20"/>
        <v>7814.5999999999985</v>
      </c>
      <c r="G385" s="42">
        <v>37920</v>
      </c>
      <c r="H385" s="17">
        <v>37920</v>
      </c>
    </row>
    <row r="386" spans="1:8">
      <c r="A386" s="28" t="s">
        <v>123</v>
      </c>
      <c r="B386" s="15" t="s">
        <v>448</v>
      </c>
      <c r="C386" s="15"/>
      <c r="D386" s="42">
        <f>D387</f>
        <v>50</v>
      </c>
      <c r="E386" s="42">
        <f>E387</f>
        <v>5</v>
      </c>
      <c r="F386" s="13">
        <f t="shared" si="20"/>
        <v>45</v>
      </c>
      <c r="G386" s="42">
        <f>G387</f>
        <v>50</v>
      </c>
      <c r="H386" s="17">
        <f>H387</f>
        <v>50</v>
      </c>
    </row>
    <row r="387" spans="1:8">
      <c r="A387" s="28" t="s">
        <v>124</v>
      </c>
      <c r="B387" s="15" t="s">
        <v>448</v>
      </c>
      <c r="C387" s="15" t="s">
        <v>125</v>
      </c>
      <c r="D387" s="42">
        <v>50</v>
      </c>
      <c r="E387" s="42">
        <v>5</v>
      </c>
      <c r="F387" s="13">
        <f t="shared" si="20"/>
        <v>45</v>
      </c>
      <c r="G387" s="42">
        <v>50</v>
      </c>
      <c r="H387" s="17">
        <v>50</v>
      </c>
    </row>
    <row r="388" spans="1:8" ht="63.75">
      <c r="A388" s="28" t="s">
        <v>133</v>
      </c>
      <c r="B388" s="15" t="s">
        <v>449</v>
      </c>
      <c r="C388" s="15"/>
      <c r="D388" s="42">
        <f>D389</f>
        <v>7900.9</v>
      </c>
      <c r="E388" s="42">
        <f>E389</f>
        <v>7851.7</v>
      </c>
      <c r="F388" s="13">
        <f t="shared" si="20"/>
        <v>49.199999999999818</v>
      </c>
      <c r="G388" s="42">
        <f>G389</f>
        <v>7900.9</v>
      </c>
      <c r="H388" s="17">
        <f>H389</f>
        <v>7900.9</v>
      </c>
    </row>
    <row r="389" spans="1:8">
      <c r="A389" s="28" t="s">
        <v>131</v>
      </c>
      <c r="B389" s="15" t="s">
        <v>449</v>
      </c>
      <c r="C389" s="15" t="s">
        <v>132</v>
      </c>
      <c r="D389" s="42">
        <v>7900.9</v>
      </c>
      <c r="E389" s="42">
        <v>7851.7</v>
      </c>
      <c r="F389" s="13">
        <f t="shared" si="20"/>
        <v>49.199999999999818</v>
      </c>
      <c r="G389" s="42">
        <v>7900.9</v>
      </c>
      <c r="H389" s="17">
        <v>7900.9</v>
      </c>
    </row>
    <row r="390" spans="1:8" ht="38.25">
      <c r="A390" s="28" t="s">
        <v>206</v>
      </c>
      <c r="B390" s="15" t="s">
        <v>360</v>
      </c>
      <c r="C390" s="15"/>
      <c r="D390" s="42">
        <f>D391</f>
        <v>11.8</v>
      </c>
      <c r="E390" s="42">
        <f>E391</f>
        <v>12.4</v>
      </c>
      <c r="F390" s="13">
        <f t="shared" si="20"/>
        <v>0.19999999999999929</v>
      </c>
      <c r="G390" s="42">
        <f>G391</f>
        <v>12.6</v>
      </c>
      <c r="H390" s="17">
        <f>H391</f>
        <v>101.1</v>
      </c>
    </row>
    <row r="391" spans="1:8" ht="25.5">
      <c r="A391" s="28" t="s">
        <v>19</v>
      </c>
      <c r="B391" s="15" t="s">
        <v>360</v>
      </c>
      <c r="C391" s="15" t="s">
        <v>20</v>
      </c>
      <c r="D391" s="42">
        <v>11.8</v>
      </c>
      <c r="E391" s="42">
        <v>12.4</v>
      </c>
      <c r="F391" s="13">
        <f t="shared" si="20"/>
        <v>0.19999999999999929</v>
      </c>
      <c r="G391" s="42">
        <v>12.6</v>
      </c>
      <c r="H391" s="17">
        <v>101.1</v>
      </c>
    </row>
    <row r="392" spans="1:8" ht="38.25">
      <c r="A392" s="14" t="s">
        <v>299</v>
      </c>
      <c r="B392" s="39" t="s">
        <v>353</v>
      </c>
      <c r="C392" s="4"/>
      <c r="D392" s="41">
        <f>D393+D394</f>
        <v>196</v>
      </c>
      <c r="E392" s="41"/>
      <c r="F392" s="13">
        <f t="shared" si="20"/>
        <v>196</v>
      </c>
      <c r="G392" s="41">
        <f>G393+G394</f>
        <v>196</v>
      </c>
      <c r="H392" s="13">
        <f>H393+H394</f>
        <v>0</v>
      </c>
    </row>
    <row r="393" spans="1:8" ht="25.5">
      <c r="A393" s="28" t="s">
        <v>41</v>
      </c>
      <c r="B393" s="39" t="s">
        <v>353</v>
      </c>
      <c r="C393" s="4" t="s">
        <v>42</v>
      </c>
      <c r="D393" s="41">
        <v>150.5</v>
      </c>
      <c r="E393" s="41"/>
      <c r="F393" s="13">
        <f t="shared" si="20"/>
        <v>150.5</v>
      </c>
      <c r="G393" s="41">
        <v>150.5</v>
      </c>
      <c r="H393" s="13"/>
    </row>
    <row r="394" spans="1:8" ht="51">
      <c r="A394" s="28" t="s">
        <v>304</v>
      </c>
      <c r="B394" s="39" t="s">
        <v>353</v>
      </c>
      <c r="C394" s="15" t="s">
        <v>44</v>
      </c>
      <c r="D394" s="41">
        <v>45.5</v>
      </c>
      <c r="E394" s="41"/>
      <c r="F394" s="13">
        <f t="shared" si="20"/>
        <v>45.5</v>
      </c>
      <c r="G394" s="41">
        <v>45.5</v>
      </c>
      <c r="H394" s="13"/>
    </row>
    <row r="395" spans="1:8" ht="38.25">
      <c r="A395" s="14" t="s">
        <v>299</v>
      </c>
      <c r="B395" s="39" t="s">
        <v>353</v>
      </c>
      <c r="C395" s="15"/>
      <c r="D395" s="42">
        <f>D396+D397</f>
        <v>10979.8</v>
      </c>
      <c r="E395" s="42"/>
      <c r="F395" s="13">
        <f t="shared" si="20"/>
        <v>10979.8</v>
      </c>
      <c r="G395" s="42">
        <f>G396+G397</f>
        <v>10979.8</v>
      </c>
      <c r="H395" s="17">
        <f>H396+H397</f>
        <v>0</v>
      </c>
    </row>
    <row r="396" spans="1:8" ht="25.5">
      <c r="A396" s="49" t="s">
        <v>305</v>
      </c>
      <c r="B396" s="39" t="s">
        <v>353</v>
      </c>
      <c r="C396" s="15" t="s">
        <v>11</v>
      </c>
      <c r="D396" s="42">
        <v>8433</v>
      </c>
      <c r="E396" s="60"/>
      <c r="F396" s="13">
        <f t="shared" ref="F396:F427" si="21">G396-E396</f>
        <v>8433</v>
      </c>
      <c r="G396" s="42">
        <v>8433</v>
      </c>
      <c r="H396" s="17"/>
    </row>
    <row r="397" spans="1:8" ht="51">
      <c r="A397" s="49" t="s">
        <v>12</v>
      </c>
      <c r="B397" s="39" t="s">
        <v>353</v>
      </c>
      <c r="C397" s="15" t="s">
        <v>13</v>
      </c>
      <c r="D397" s="42">
        <v>2546.8000000000002</v>
      </c>
      <c r="E397" s="60"/>
      <c r="F397" s="13">
        <f t="shared" si="21"/>
        <v>2546.8000000000002</v>
      </c>
      <c r="G397" s="42">
        <v>2546.8000000000002</v>
      </c>
      <c r="H397" s="17"/>
    </row>
    <row r="398" spans="1:8" ht="38.25">
      <c r="A398" s="14" t="s">
        <v>299</v>
      </c>
      <c r="B398" s="39" t="s">
        <v>353</v>
      </c>
      <c r="C398" s="15"/>
      <c r="D398" s="42">
        <f>D399+D400</f>
        <v>58934</v>
      </c>
      <c r="E398" s="42"/>
      <c r="F398" s="13">
        <f t="shared" si="21"/>
        <v>58934</v>
      </c>
      <c r="G398" s="42">
        <f>G399+G400</f>
        <v>58934</v>
      </c>
      <c r="H398" s="17">
        <f>H399+H400</f>
        <v>0</v>
      </c>
    </row>
    <row r="399" spans="1:8" ht="25.5">
      <c r="A399" s="49" t="s">
        <v>305</v>
      </c>
      <c r="B399" s="39" t="s">
        <v>353</v>
      </c>
      <c r="C399" s="15" t="s">
        <v>11</v>
      </c>
      <c r="D399" s="42">
        <v>45258</v>
      </c>
      <c r="E399" s="42"/>
      <c r="F399" s="13">
        <f t="shared" si="21"/>
        <v>45258</v>
      </c>
      <c r="G399" s="42">
        <v>45258</v>
      </c>
      <c r="H399" s="17"/>
    </row>
    <row r="400" spans="1:8" ht="51">
      <c r="A400" s="49" t="s">
        <v>12</v>
      </c>
      <c r="B400" s="39" t="s">
        <v>353</v>
      </c>
      <c r="C400" s="15" t="s">
        <v>13</v>
      </c>
      <c r="D400" s="42">
        <v>13676</v>
      </c>
      <c r="E400" s="42"/>
      <c r="F400" s="13">
        <f t="shared" si="21"/>
        <v>13676</v>
      </c>
      <c r="G400" s="42">
        <v>13676</v>
      </c>
      <c r="H400" s="17"/>
    </row>
    <row r="401" spans="1:8" ht="38.25">
      <c r="A401" s="14" t="s">
        <v>299</v>
      </c>
      <c r="B401" s="39" t="s">
        <v>353</v>
      </c>
      <c r="C401" s="4"/>
      <c r="D401" s="42">
        <f>SUBTOTAL(9,D402:D405)</f>
        <v>980</v>
      </c>
      <c r="E401" s="42"/>
      <c r="F401" s="13">
        <f t="shared" si="21"/>
        <v>980</v>
      </c>
      <c r="G401" s="42">
        <f>SUBTOTAL(9,G402:G405)</f>
        <v>980</v>
      </c>
      <c r="H401" s="17">
        <f>SUBTOTAL(9,H402:H405)</f>
        <v>0</v>
      </c>
    </row>
    <row r="402" spans="1:8" ht="25.5">
      <c r="A402" s="28" t="s">
        <v>10</v>
      </c>
      <c r="B402" s="39" t="s">
        <v>353</v>
      </c>
      <c r="C402" s="4" t="s">
        <v>11</v>
      </c>
      <c r="D402" s="42">
        <v>322.60000000000002</v>
      </c>
      <c r="E402" s="42"/>
      <c r="F402" s="13">
        <f t="shared" si="21"/>
        <v>322.60000000000002</v>
      </c>
      <c r="G402" s="42">
        <v>322.60000000000002</v>
      </c>
      <c r="H402" s="17"/>
    </row>
    <row r="403" spans="1:8" ht="38.25">
      <c r="A403" s="28" t="s">
        <v>104</v>
      </c>
      <c r="B403" s="39" t="s">
        <v>353</v>
      </c>
      <c r="C403" s="4" t="s">
        <v>42</v>
      </c>
      <c r="D403" s="42">
        <v>430</v>
      </c>
      <c r="E403" s="42"/>
      <c r="F403" s="13">
        <f t="shared" si="21"/>
        <v>430</v>
      </c>
      <c r="G403" s="42">
        <v>430</v>
      </c>
      <c r="H403" s="17"/>
    </row>
    <row r="404" spans="1:8" ht="51">
      <c r="A404" s="28" t="s">
        <v>12</v>
      </c>
      <c r="B404" s="39" t="s">
        <v>353</v>
      </c>
      <c r="C404" s="4" t="s">
        <v>13</v>
      </c>
      <c r="D404" s="42">
        <v>97.4</v>
      </c>
      <c r="E404" s="42"/>
      <c r="F404" s="13">
        <f t="shared" si="21"/>
        <v>97.4</v>
      </c>
      <c r="G404" s="42">
        <v>97.4</v>
      </c>
      <c r="H404" s="17"/>
    </row>
    <row r="405" spans="1:8" ht="51">
      <c r="A405" s="28" t="s">
        <v>276</v>
      </c>
      <c r="B405" s="39" t="s">
        <v>353</v>
      </c>
      <c r="C405" s="4" t="s">
        <v>44</v>
      </c>
      <c r="D405" s="42">
        <v>130</v>
      </c>
      <c r="E405" s="42"/>
      <c r="F405" s="13">
        <f t="shared" si="21"/>
        <v>130</v>
      </c>
      <c r="G405" s="42">
        <v>130</v>
      </c>
      <c r="H405" s="17"/>
    </row>
    <row r="406" spans="1:8" ht="38.25">
      <c r="A406" s="14" t="s">
        <v>299</v>
      </c>
      <c r="B406" s="39" t="s">
        <v>353</v>
      </c>
      <c r="C406" s="4"/>
      <c r="D406" s="42">
        <f>D407+D408</f>
        <v>13574</v>
      </c>
      <c r="E406" s="42"/>
      <c r="F406" s="13">
        <f t="shared" si="21"/>
        <v>0</v>
      </c>
      <c r="G406" s="42">
        <f>G407+G408</f>
        <v>0</v>
      </c>
      <c r="H406" s="17">
        <f>H407+H408</f>
        <v>0</v>
      </c>
    </row>
    <row r="407" spans="1:8" ht="25.5">
      <c r="A407" s="28" t="s">
        <v>10</v>
      </c>
      <c r="B407" s="39" t="s">
        <v>353</v>
      </c>
      <c r="C407" s="4" t="s">
        <v>11</v>
      </c>
      <c r="D407" s="42">
        <f>4078.3+6912.5-565.3</f>
        <v>10425.5</v>
      </c>
      <c r="E407" s="42"/>
      <c r="F407" s="13">
        <f t="shared" si="21"/>
        <v>0</v>
      </c>
      <c r="G407" s="42"/>
      <c r="H407" s="17"/>
    </row>
    <row r="408" spans="1:8" ht="51">
      <c r="A408" s="28" t="s">
        <v>12</v>
      </c>
      <c r="B408" s="39" t="s">
        <v>353</v>
      </c>
      <c r="C408" s="4" t="s">
        <v>13</v>
      </c>
      <c r="D408" s="42">
        <f>1231.7+2087.5-170.7</f>
        <v>3148.5</v>
      </c>
      <c r="E408" s="42"/>
      <c r="F408" s="13">
        <f t="shared" si="21"/>
        <v>0</v>
      </c>
      <c r="G408" s="42"/>
      <c r="H408" s="17"/>
    </row>
    <row r="409" spans="1:8" ht="38.25">
      <c r="A409" s="14" t="s">
        <v>299</v>
      </c>
      <c r="B409" s="39" t="s">
        <v>353</v>
      </c>
      <c r="C409" s="4"/>
      <c r="D409" s="42">
        <f>D410+D412+D411+D413</f>
        <v>1150</v>
      </c>
      <c r="E409" s="42"/>
      <c r="F409" s="13">
        <f t="shared" si="21"/>
        <v>1150</v>
      </c>
      <c r="G409" s="42">
        <f>G410+G412+G411+G413</f>
        <v>1150</v>
      </c>
      <c r="H409" s="17">
        <f>H410+H412+H411+H413</f>
        <v>0</v>
      </c>
    </row>
    <row r="410" spans="1:8" ht="25.5">
      <c r="A410" s="28" t="s">
        <v>10</v>
      </c>
      <c r="B410" s="39" t="s">
        <v>353</v>
      </c>
      <c r="C410" s="15" t="s">
        <v>11</v>
      </c>
      <c r="D410" s="42">
        <v>537.6</v>
      </c>
      <c r="E410" s="42"/>
      <c r="F410" s="13">
        <f t="shared" si="21"/>
        <v>537.6</v>
      </c>
      <c r="G410" s="42">
        <v>537.6</v>
      </c>
      <c r="H410" s="17"/>
    </row>
    <row r="411" spans="1:8" ht="38.25">
      <c r="A411" s="28" t="s">
        <v>104</v>
      </c>
      <c r="B411" s="39" t="s">
        <v>353</v>
      </c>
      <c r="C411" s="15" t="s">
        <v>42</v>
      </c>
      <c r="D411" s="42">
        <v>345.6</v>
      </c>
      <c r="E411" s="42"/>
      <c r="F411" s="13">
        <f t="shared" si="21"/>
        <v>345.6</v>
      </c>
      <c r="G411" s="42">
        <v>345.6</v>
      </c>
      <c r="H411" s="17"/>
    </row>
    <row r="412" spans="1:8" ht="51">
      <c r="A412" s="28" t="s">
        <v>12</v>
      </c>
      <c r="B412" s="39" t="s">
        <v>353</v>
      </c>
      <c r="C412" s="15" t="s">
        <v>13</v>
      </c>
      <c r="D412" s="42">
        <v>162.4</v>
      </c>
      <c r="E412" s="42"/>
      <c r="F412" s="13">
        <f t="shared" si="21"/>
        <v>162.4</v>
      </c>
      <c r="G412" s="42">
        <v>162.4</v>
      </c>
      <c r="H412" s="17"/>
    </row>
    <row r="413" spans="1:8" s="47" customFormat="1" ht="51">
      <c r="A413" s="28" t="s">
        <v>43</v>
      </c>
      <c r="B413" s="39" t="s">
        <v>353</v>
      </c>
      <c r="C413" s="15" t="s">
        <v>44</v>
      </c>
      <c r="D413" s="42">
        <v>104.4</v>
      </c>
      <c r="E413" s="42"/>
      <c r="F413" s="13">
        <f t="shared" si="21"/>
        <v>104.4</v>
      </c>
      <c r="G413" s="42">
        <v>104.4</v>
      </c>
      <c r="H413" s="17"/>
    </row>
    <row r="414" spans="1:8" s="47" customFormat="1" ht="38.25">
      <c r="A414" s="14" t="s">
        <v>299</v>
      </c>
      <c r="B414" s="39" t="s">
        <v>353</v>
      </c>
      <c r="C414" s="4"/>
      <c r="D414" s="42">
        <f>D415+D416</f>
        <v>10204.299999999999</v>
      </c>
      <c r="E414" s="42"/>
      <c r="F414" s="13">
        <f t="shared" si="21"/>
        <v>2104.6999999999998</v>
      </c>
      <c r="G414" s="42">
        <f>G415+G416</f>
        <v>2104.6999999999998</v>
      </c>
      <c r="H414" s="17">
        <f>H415+H416</f>
        <v>0</v>
      </c>
    </row>
    <row r="415" spans="1:8" ht="25.5">
      <c r="A415" s="28" t="s">
        <v>10</v>
      </c>
      <c r="B415" s="39" t="s">
        <v>353</v>
      </c>
      <c r="C415" s="15" t="s">
        <v>11</v>
      </c>
      <c r="D415" s="42">
        <f>845+6992.6</f>
        <v>7837.6</v>
      </c>
      <c r="E415" s="42"/>
      <c r="F415" s="13">
        <f t="shared" si="21"/>
        <v>1616.5</v>
      </c>
      <c r="G415" s="42">
        <v>1616.5</v>
      </c>
      <c r="H415" s="17"/>
    </row>
    <row r="416" spans="1:8" ht="51">
      <c r="A416" s="28" t="s">
        <v>12</v>
      </c>
      <c r="B416" s="39" t="s">
        <v>353</v>
      </c>
      <c r="C416" s="15" t="s">
        <v>13</v>
      </c>
      <c r="D416" s="42">
        <f>255+2111.7</f>
        <v>2366.6999999999998</v>
      </c>
      <c r="E416" s="42"/>
      <c r="F416" s="13">
        <f t="shared" si="21"/>
        <v>488.2</v>
      </c>
      <c r="G416" s="42">
        <v>488.2</v>
      </c>
      <c r="H416" s="17"/>
    </row>
    <row r="417" spans="1:8" ht="38.25">
      <c r="A417" s="14" t="s">
        <v>299</v>
      </c>
      <c r="B417" s="39" t="s">
        <v>353</v>
      </c>
      <c r="C417" s="15"/>
      <c r="D417" s="42">
        <f>SUM(D418:D421)</f>
        <v>1299</v>
      </c>
      <c r="E417" s="42"/>
      <c r="F417" s="13">
        <f t="shared" si="21"/>
        <v>1299</v>
      </c>
      <c r="G417" s="42">
        <f>SUM(G418:G421)</f>
        <v>1299</v>
      </c>
      <c r="H417" s="17">
        <f>SUM(H418:H421)</f>
        <v>0</v>
      </c>
    </row>
    <row r="418" spans="1:8" ht="25.5">
      <c r="A418" s="28" t="s">
        <v>10</v>
      </c>
      <c r="B418" s="39" t="s">
        <v>353</v>
      </c>
      <c r="C418" s="15" t="s">
        <v>11</v>
      </c>
      <c r="D418" s="42">
        <v>563</v>
      </c>
      <c r="E418" s="42"/>
      <c r="F418" s="13">
        <f t="shared" si="21"/>
        <v>563</v>
      </c>
      <c r="G418" s="42">
        <v>563</v>
      </c>
      <c r="H418" s="17"/>
    </row>
    <row r="419" spans="1:8" ht="38.25">
      <c r="A419" s="28" t="s">
        <v>104</v>
      </c>
      <c r="B419" s="39" t="s">
        <v>353</v>
      </c>
      <c r="C419" s="15" t="s">
        <v>42</v>
      </c>
      <c r="D419" s="42">
        <v>434.7</v>
      </c>
      <c r="E419" s="42"/>
      <c r="F419" s="13">
        <f t="shared" si="21"/>
        <v>434.7</v>
      </c>
      <c r="G419" s="42">
        <v>434.7</v>
      </c>
      <c r="H419" s="17"/>
    </row>
    <row r="420" spans="1:8" ht="51">
      <c r="A420" s="28" t="s">
        <v>12</v>
      </c>
      <c r="B420" s="39" t="s">
        <v>353</v>
      </c>
      <c r="C420" s="15" t="s">
        <v>13</v>
      </c>
      <c r="D420" s="42">
        <v>170</v>
      </c>
      <c r="E420" s="42"/>
      <c r="F420" s="13">
        <f t="shared" si="21"/>
        <v>170</v>
      </c>
      <c r="G420" s="42">
        <v>170</v>
      </c>
      <c r="H420" s="17"/>
    </row>
    <row r="421" spans="1:8" ht="51">
      <c r="A421" s="28" t="s">
        <v>276</v>
      </c>
      <c r="B421" s="39" t="s">
        <v>353</v>
      </c>
      <c r="C421" s="15" t="s">
        <v>44</v>
      </c>
      <c r="D421" s="42">
        <v>131.30000000000001</v>
      </c>
      <c r="E421" s="42"/>
      <c r="F421" s="13">
        <f t="shared" si="21"/>
        <v>131.30000000000001</v>
      </c>
      <c r="G421" s="42">
        <v>131.30000000000001</v>
      </c>
      <c r="H421" s="17"/>
    </row>
    <row r="422" spans="1:8" ht="38.25">
      <c r="A422" s="14" t="s">
        <v>299</v>
      </c>
      <c r="B422" s="39" t="s">
        <v>353</v>
      </c>
      <c r="C422" s="15"/>
      <c r="D422" s="42">
        <f>D423+D424</f>
        <v>736</v>
      </c>
      <c r="E422" s="42"/>
      <c r="F422" s="13">
        <f t="shared" si="21"/>
        <v>736</v>
      </c>
      <c r="G422" s="42">
        <f>G423+G424</f>
        <v>736</v>
      </c>
      <c r="H422" s="17">
        <f>H423+H424</f>
        <v>0</v>
      </c>
    </row>
    <row r="423" spans="1:8" ht="25.5">
      <c r="A423" s="28" t="s">
        <v>10</v>
      </c>
      <c r="B423" s="39" t="s">
        <v>353</v>
      </c>
      <c r="C423" s="15" t="s">
        <v>11</v>
      </c>
      <c r="D423" s="42">
        <v>565.29999999999995</v>
      </c>
      <c r="E423" s="42"/>
      <c r="F423" s="13">
        <f t="shared" si="21"/>
        <v>565.29999999999995</v>
      </c>
      <c r="G423" s="42">
        <v>565.29999999999995</v>
      </c>
      <c r="H423" s="17"/>
    </row>
    <row r="424" spans="1:8" ht="51">
      <c r="A424" s="28" t="s">
        <v>12</v>
      </c>
      <c r="B424" s="39" t="s">
        <v>353</v>
      </c>
      <c r="C424" s="15" t="s">
        <v>13</v>
      </c>
      <c r="D424" s="42">
        <v>170.7</v>
      </c>
      <c r="E424" s="42"/>
      <c r="F424" s="13">
        <f t="shared" si="21"/>
        <v>170.7</v>
      </c>
      <c r="G424" s="42">
        <v>170.7</v>
      </c>
      <c r="H424" s="17"/>
    </row>
    <row r="425" spans="1:8" ht="38.25">
      <c r="A425" s="14" t="s">
        <v>299</v>
      </c>
      <c r="B425" s="39" t="s">
        <v>353</v>
      </c>
      <c r="C425" s="15"/>
      <c r="D425" s="42">
        <f>D426+D427</f>
        <v>1200</v>
      </c>
      <c r="E425" s="42"/>
      <c r="F425" s="13">
        <f t="shared" si="21"/>
        <v>1200</v>
      </c>
      <c r="G425" s="42">
        <f>G426+G427</f>
        <v>1200</v>
      </c>
      <c r="H425" s="17">
        <f>H426+H427</f>
        <v>0</v>
      </c>
    </row>
    <row r="426" spans="1:8" ht="25.5">
      <c r="A426" s="28" t="s">
        <v>10</v>
      </c>
      <c r="B426" s="39" t="s">
        <v>353</v>
      </c>
      <c r="C426" s="15" t="s">
        <v>11</v>
      </c>
      <c r="D426" s="42">
        <v>922</v>
      </c>
      <c r="E426" s="42"/>
      <c r="F426" s="13">
        <f t="shared" si="21"/>
        <v>922</v>
      </c>
      <c r="G426" s="42">
        <v>922</v>
      </c>
      <c r="H426" s="17"/>
    </row>
    <row r="427" spans="1:8" ht="51">
      <c r="A427" s="28" t="s">
        <v>12</v>
      </c>
      <c r="B427" s="39" t="s">
        <v>353</v>
      </c>
      <c r="C427" s="15" t="s">
        <v>13</v>
      </c>
      <c r="D427" s="42">
        <v>278</v>
      </c>
      <c r="E427" s="42"/>
      <c r="F427" s="13">
        <f t="shared" si="21"/>
        <v>278</v>
      </c>
      <c r="G427" s="42">
        <v>278</v>
      </c>
      <c r="H427" s="17"/>
    </row>
    <row r="428" spans="1:8" ht="38.25">
      <c r="A428" s="14" t="s">
        <v>299</v>
      </c>
      <c r="B428" s="39" t="s">
        <v>353</v>
      </c>
      <c r="C428" s="15"/>
      <c r="D428" s="41">
        <f>D429+D430</f>
        <v>200</v>
      </c>
      <c r="E428" s="41"/>
      <c r="F428" s="13">
        <f t="shared" ref="F428:F442" si="22">G428-E428</f>
        <v>200</v>
      </c>
      <c r="G428" s="41">
        <f>G429+G430</f>
        <v>200</v>
      </c>
      <c r="H428" s="13">
        <f>H429+H430</f>
        <v>0</v>
      </c>
    </row>
    <row r="429" spans="1:8" ht="25.5">
      <c r="A429" s="28" t="s">
        <v>10</v>
      </c>
      <c r="B429" s="39" t="s">
        <v>353</v>
      </c>
      <c r="C429" s="15" t="s">
        <v>11</v>
      </c>
      <c r="D429" s="41">
        <v>153.6</v>
      </c>
      <c r="E429" s="41"/>
      <c r="F429" s="13">
        <f t="shared" si="22"/>
        <v>153.6</v>
      </c>
      <c r="G429" s="41">
        <v>153.6</v>
      </c>
      <c r="H429" s="13"/>
    </row>
    <row r="430" spans="1:8" ht="51">
      <c r="A430" s="28" t="s">
        <v>12</v>
      </c>
      <c r="B430" s="39" t="s">
        <v>353</v>
      </c>
      <c r="C430" s="15" t="s">
        <v>13</v>
      </c>
      <c r="D430" s="41">
        <v>46.4</v>
      </c>
      <c r="E430" s="41"/>
      <c r="F430" s="13">
        <f t="shared" si="22"/>
        <v>46.4</v>
      </c>
      <c r="G430" s="41">
        <v>46.4</v>
      </c>
      <c r="H430" s="13"/>
    </row>
    <row r="431" spans="1:8" ht="25.5">
      <c r="A431" s="14" t="s">
        <v>121</v>
      </c>
      <c r="B431" s="15" t="s">
        <v>122</v>
      </c>
      <c r="C431" s="7"/>
      <c r="D431" s="42"/>
      <c r="E431" s="42">
        <f>E432</f>
        <v>1880.8</v>
      </c>
      <c r="F431" s="13">
        <f t="shared" si="22"/>
        <v>-1880.8</v>
      </c>
      <c r="G431" s="42"/>
      <c r="H431" s="17"/>
    </row>
    <row r="432" spans="1:8" ht="25.5">
      <c r="A432" s="14" t="s">
        <v>126</v>
      </c>
      <c r="B432" s="15" t="s">
        <v>127</v>
      </c>
      <c r="C432" s="7"/>
      <c r="D432" s="42"/>
      <c r="E432" s="42">
        <f>E433</f>
        <v>1880.8</v>
      </c>
      <c r="F432" s="13">
        <f t="shared" si="22"/>
        <v>-1880.8</v>
      </c>
      <c r="G432" s="42"/>
      <c r="H432" s="17"/>
    </row>
    <row r="433" spans="1:8">
      <c r="A433" s="14" t="s">
        <v>128</v>
      </c>
      <c r="B433" s="15" t="s">
        <v>127</v>
      </c>
      <c r="C433" s="7" t="s">
        <v>129</v>
      </c>
      <c r="D433" s="42"/>
      <c r="E433" s="42">
        <v>1880.8</v>
      </c>
      <c r="F433" s="13">
        <f t="shared" si="22"/>
        <v>-1880.8</v>
      </c>
      <c r="G433" s="42"/>
      <c r="H433" s="17"/>
    </row>
    <row r="434" spans="1:8" ht="25.5">
      <c r="A434" s="30" t="s">
        <v>117</v>
      </c>
      <c r="B434" s="15" t="s">
        <v>443</v>
      </c>
      <c r="C434" s="15"/>
      <c r="D434" s="42">
        <f>D435</f>
        <v>5793.41</v>
      </c>
      <c r="E434" s="42">
        <f>E435</f>
        <v>5552.9</v>
      </c>
      <c r="F434" s="13">
        <f t="shared" si="22"/>
        <v>230.51000000000022</v>
      </c>
      <c r="G434" s="42">
        <f>G435</f>
        <v>5783.41</v>
      </c>
      <c r="H434" s="17">
        <f>H435</f>
        <v>5783.41</v>
      </c>
    </row>
    <row r="435" spans="1:8" s="47" customFormat="1" ht="25.5">
      <c r="A435" s="28" t="s">
        <v>118</v>
      </c>
      <c r="B435" s="15" t="s">
        <v>444</v>
      </c>
      <c r="C435" s="15"/>
      <c r="D435" s="42">
        <f>D436+D439</f>
        <v>5793.41</v>
      </c>
      <c r="E435" s="42">
        <f>E436+E439</f>
        <v>5552.9</v>
      </c>
      <c r="F435" s="13">
        <f t="shared" si="22"/>
        <v>230.51000000000022</v>
      </c>
      <c r="G435" s="42">
        <f>G436+G439</f>
        <v>5783.41</v>
      </c>
      <c r="H435" s="17">
        <f>H436+H439</f>
        <v>5783.41</v>
      </c>
    </row>
    <row r="436" spans="1:8" s="47" customFormat="1" ht="38.25">
      <c r="A436" s="28" t="s">
        <v>119</v>
      </c>
      <c r="B436" s="15" t="s">
        <v>445</v>
      </c>
      <c r="C436" s="15"/>
      <c r="D436" s="42">
        <f>SUBTOTAL(9,D437:D438)</f>
        <v>5460.2</v>
      </c>
      <c r="E436" s="42">
        <f>SUBTOTAL(9,E437:E438)</f>
        <v>5552.9</v>
      </c>
      <c r="F436" s="13">
        <f t="shared" si="22"/>
        <v>-92.699999999999818</v>
      </c>
      <c r="G436" s="42">
        <f>SUBTOTAL(9,G437:G438)</f>
        <v>5460.2</v>
      </c>
      <c r="H436" s="17">
        <f>SUBTOTAL(9,H437:H438)</f>
        <v>5460.2</v>
      </c>
    </row>
    <row r="437" spans="1:8" s="47" customFormat="1" ht="38.25">
      <c r="A437" s="28" t="s">
        <v>104</v>
      </c>
      <c r="B437" s="15" t="s">
        <v>445</v>
      </c>
      <c r="C437" s="15" t="s">
        <v>42</v>
      </c>
      <c r="D437" s="42">
        <v>4193.7</v>
      </c>
      <c r="E437" s="42">
        <v>4264.8999999999996</v>
      </c>
      <c r="F437" s="13">
        <f t="shared" si="22"/>
        <v>-71.199999999999818</v>
      </c>
      <c r="G437" s="42">
        <v>4193.7</v>
      </c>
      <c r="H437" s="17">
        <v>4193.7</v>
      </c>
    </row>
    <row r="438" spans="1:8" s="47" customFormat="1" ht="51">
      <c r="A438" s="28" t="s">
        <v>43</v>
      </c>
      <c r="B438" s="15" t="s">
        <v>445</v>
      </c>
      <c r="C438" s="15" t="s">
        <v>44</v>
      </c>
      <c r="D438" s="42">
        <v>1266.5</v>
      </c>
      <c r="E438" s="42">
        <v>1288</v>
      </c>
      <c r="F438" s="13">
        <f t="shared" si="22"/>
        <v>-21.5</v>
      </c>
      <c r="G438" s="42">
        <v>1266.5</v>
      </c>
      <c r="H438" s="17">
        <v>1266.5</v>
      </c>
    </row>
    <row r="439" spans="1:8" s="47" customFormat="1" ht="25.5">
      <c r="A439" s="28" t="s">
        <v>120</v>
      </c>
      <c r="B439" s="15" t="s">
        <v>446</v>
      </c>
      <c r="C439" s="15"/>
      <c r="D439" s="42">
        <f>SUBTOTAL(9,D440:D442)</f>
        <v>333.21</v>
      </c>
      <c r="E439" s="42">
        <f>SUBTOTAL(9,E440:E442)</f>
        <v>0</v>
      </c>
      <c r="F439" s="13">
        <f t="shared" si="22"/>
        <v>323.20999999999998</v>
      </c>
      <c r="G439" s="42">
        <f>SUBTOTAL(9,G440:G442)</f>
        <v>323.20999999999998</v>
      </c>
      <c r="H439" s="17">
        <f>SUBTOTAL(9,H440:H442)</f>
        <v>323.20999999999998</v>
      </c>
    </row>
    <row r="440" spans="1:8" s="47" customFormat="1" ht="38.25">
      <c r="A440" s="28" t="s">
        <v>46</v>
      </c>
      <c r="B440" s="15" t="s">
        <v>446</v>
      </c>
      <c r="C440" s="4" t="s">
        <v>47</v>
      </c>
      <c r="D440" s="42">
        <v>10</v>
      </c>
      <c r="E440" s="42"/>
      <c r="F440" s="13">
        <f t="shared" si="22"/>
        <v>0</v>
      </c>
      <c r="G440" s="42"/>
      <c r="H440" s="17"/>
    </row>
    <row r="441" spans="1:8" ht="25.5">
      <c r="A441" s="28" t="s">
        <v>19</v>
      </c>
      <c r="B441" s="15" t="s">
        <v>446</v>
      </c>
      <c r="C441" s="4">
        <v>244</v>
      </c>
      <c r="D441" s="42">
        <f>90.71+182.5+48</f>
        <v>321.20999999999998</v>
      </c>
      <c r="E441" s="42"/>
      <c r="F441" s="13">
        <f t="shared" si="22"/>
        <v>321.20999999999998</v>
      </c>
      <c r="G441" s="42">
        <f>90.71+182.5+48</f>
        <v>321.20999999999998</v>
      </c>
      <c r="H441" s="17">
        <f>90.71+182.5+48</f>
        <v>321.20999999999998</v>
      </c>
    </row>
    <row r="442" spans="1:8">
      <c r="A442" s="28" t="s">
        <v>21</v>
      </c>
      <c r="B442" s="15" t="s">
        <v>446</v>
      </c>
      <c r="C442" s="15" t="s">
        <v>22</v>
      </c>
      <c r="D442" s="42">
        <v>2</v>
      </c>
      <c r="E442" s="42"/>
      <c r="F442" s="13">
        <f t="shared" si="22"/>
        <v>2</v>
      </c>
      <c r="G442" s="42">
        <v>2</v>
      </c>
      <c r="H442" s="17">
        <v>2</v>
      </c>
    </row>
    <row r="443" spans="1:8">
      <c r="A443" s="30" t="s">
        <v>440</v>
      </c>
      <c r="B443" s="15" t="s">
        <v>438</v>
      </c>
      <c r="C443" s="7"/>
      <c r="D443" s="42" t="e">
        <f>#REF!</f>
        <v>#REF!</v>
      </c>
      <c r="E443" s="42" t="e">
        <f>#REF!</f>
        <v>#REF!</v>
      </c>
      <c r="F443" s="13">
        <v>-9836.26</v>
      </c>
      <c r="G443" s="42">
        <v>23829.360000000001</v>
      </c>
      <c r="H443" s="17">
        <v>36329.360000000001</v>
      </c>
    </row>
    <row r="444" spans="1:8" ht="25.5">
      <c r="A444" s="30" t="s">
        <v>441</v>
      </c>
      <c r="B444" s="15" t="s">
        <v>182</v>
      </c>
      <c r="C444" s="7"/>
      <c r="D444" s="42" t="e">
        <f>+D446+D450+#REF!</f>
        <v>#REF!</v>
      </c>
      <c r="E444" s="42" t="e">
        <f>#REF!</f>
        <v>#REF!</v>
      </c>
      <c r="F444" s="13">
        <v>4243.13</v>
      </c>
      <c r="G444" s="42">
        <v>7674.16</v>
      </c>
      <c r="H444" s="17">
        <v>7674.16</v>
      </c>
    </row>
    <row r="445" spans="1:8" ht="38.25">
      <c r="A445" s="28" t="s">
        <v>187</v>
      </c>
      <c r="B445" s="15" t="s">
        <v>435</v>
      </c>
      <c r="C445" s="15"/>
      <c r="D445" s="42">
        <f>D446+D449</f>
        <v>4351.76</v>
      </c>
      <c r="E445" s="42">
        <f>E446+E449</f>
        <v>3431.0299999999997</v>
      </c>
      <c r="F445" s="13">
        <f t="shared" ref="F445:F477" si="23">G445-E445</f>
        <v>864.73000000000047</v>
      </c>
      <c r="G445" s="42">
        <f>G446+G449</f>
        <v>4295.76</v>
      </c>
      <c r="H445" s="17">
        <f>H446+H449</f>
        <v>4295.76</v>
      </c>
    </row>
    <row r="446" spans="1:8" ht="38.25">
      <c r="A446" s="28" t="s">
        <v>188</v>
      </c>
      <c r="B446" s="15" t="s">
        <v>436</v>
      </c>
      <c r="C446" s="15"/>
      <c r="D446" s="42">
        <f>SUBTOTAL(9,D447:D448)</f>
        <v>3378.4</v>
      </c>
      <c r="E446" s="42">
        <f>SUBTOTAL(9,E447:E448)</f>
        <v>3431.0299999999997</v>
      </c>
      <c r="F446" s="13">
        <f t="shared" si="23"/>
        <v>-52.629999999999654</v>
      </c>
      <c r="G446" s="42">
        <f>SUBTOTAL(9,G447:G448)</f>
        <v>3378.4</v>
      </c>
      <c r="H446" s="17">
        <f>SUBTOTAL(9,H447:H448)</f>
        <v>3378.4</v>
      </c>
    </row>
    <row r="447" spans="1:8" ht="38.25">
      <c r="A447" s="28" t="s">
        <v>104</v>
      </c>
      <c r="B447" s="15" t="s">
        <v>436</v>
      </c>
      <c r="C447" s="15" t="s">
        <v>42</v>
      </c>
      <c r="D447" s="42">
        <v>2594.8000000000002</v>
      </c>
      <c r="E447" s="42">
        <v>2635.2</v>
      </c>
      <c r="F447" s="13">
        <f t="shared" si="23"/>
        <v>-40.399999999999636</v>
      </c>
      <c r="G447" s="42">
        <v>2594.8000000000002</v>
      </c>
      <c r="H447" s="17">
        <v>2594.8000000000002</v>
      </c>
    </row>
    <row r="448" spans="1:8" ht="51">
      <c r="A448" s="28" t="s">
        <v>43</v>
      </c>
      <c r="B448" s="15" t="s">
        <v>436</v>
      </c>
      <c r="C448" s="15" t="s">
        <v>44</v>
      </c>
      <c r="D448" s="42">
        <v>783.6</v>
      </c>
      <c r="E448" s="42">
        <v>795.83</v>
      </c>
      <c r="F448" s="13">
        <f t="shared" si="23"/>
        <v>-12.230000000000018</v>
      </c>
      <c r="G448" s="42">
        <v>783.6</v>
      </c>
      <c r="H448" s="17">
        <v>783.6</v>
      </c>
    </row>
    <row r="449" spans="1:8" ht="38.25">
      <c r="A449" s="28" t="s">
        <v>189</v>
      </c>
      <c r="B449" s="15" t="s">
        <v>442</v>
      </c>
      <c r="C449" s="15"/>
      <c r="D449" s="42">
        <f>SUBTOTAL(9,D450:D455)</f>
        <v>973.36</v>
      </c>
      <c r="E449" s="42">
        <f>SUBTOTAL(9,E450:E455)</f>
        <v>0</v>
      </c>
      <c r="F449" s="13">
        <f t="shared" si="23"/>
        <v>917.36</v>
      </c>
      <c r="G449" s="42">
        <f>SUBTOTAL(9,G450:G455)</f>
        <v>917.36</v>
      </c>
      <c r="H449" s="17">
        <f>SUBTOTAL(9,H450:H455)</f>
        <v>917.36</v>
      </c>
    </row>
    <row r="450" spans="1:8" ht="38.25">
      <c r="A450" s="28" t="s">
        <v>46</v>
      </c>
      <c r="B450" s="15" t="s">
        <v>442</v>
      </c>
      <c r="C450" s="4" t="s">
        <v>47</v>
      </c>
      <c r="D450" s="42">
        <v>56</v>
      </c>
      <c r="E450" s="42"/>
      <c r="F450" s="13">
        <f t="shared" si="23"/>
        <v>0</v>
      </c>
      <c r="G450" s="42"/>
      <c r="H450" s="17"/>
    </row>
    <row r="451" spans="1:8" ht="63.75">
      <c r="A451" s="28" t="s">
        <v>190</v>
      </c>
      <c r="B451" s="15" t="s">
        <v>442</v>
      </c>
      <c r="C451" s="4" t="s">
        <v>191</v>
      </c>
      <c r="D451" s="42">
        <v>504</v>
      </c>
      <c r="E451" s="42"/>
      <c r="F451" s="13">
        <f t="shared" si="23"/>
        <v>504</v>
      </c>
      <c r="G451" s="42">
        <v>504</v>
      </c>
      <c r="H451" s="17">
        <v>504</v>
      </c>
    </row>
    <row r="452" spans="1:8" ht="25.5">
      <c r="A452" s="28" t="s">
        <v>19</v>
      </c>
      <c r="B452" s="15" t="s">
        <v>442</v>
      </c>
      <c r="C452" s="4">
        <v>244</v>
      </c>
      <c r="D452" s="42">
        <f>17.76+20+37.9+30+298.2</f>
        <v>403.86</v>
      </c>
      <c r="E452" s="42"/>
      <c r="F452" s="13">
        <f t="shared" si="23"/>
        <v>403.86</v>
      </c>
      <c r="G452" s="42">
        <f>17.76+20+37.9+30+298.2</f>
        <v>403.86</v>
      </c>
      <c r="H452" s="17">
        <f>17.76+20+37.9+30+298.2</f>
        <v>403.86</v>
      </c>
    </row>
    <row r="453" spans="1:8" ht="25.5">
      <c r="A453" s="28" t="s">
        <v>30</v>
      </c>
      <c r="B453" s="15" t="s">
        <v>442</v>
      </c>
      <c r="C453" s="15" t="s">
        <v>31</v>
      </c>
      <c r="D453" s="42"/>
      <c r="E453" s="42"/>
      <c r="F453" s="13">
        <f t="shared" si="23"/>
        <v>0</v>
      </c>
      <c r="G453" s="42"/>
      <c r="H453" s="17"/>
    </row>
    <row r="454" spans="1:8">
      <c r="A454" s="28" t="s">
        <v>32</v>
      </c>
      <c r="B454" s="15" t="s">
        <v>442</v>
      </c>
      <c r="C454" s="15" t="s">
        <v>33</v>
      </c>
      <c r="D454" s="42">
        <v>9.5</v>
      </c>
      <c r="E454" s="42"/>
      <c r="F454" s="13">
        <f t="shared" si="23"/>
        <v>9.5</v>
      </c>
      <c r="G454" s="42">
        <v>9.5</v>
      </c>
      <c r="H454" s="17">
        <v>9.5</v>
      </c>
    </row>
    <row r="455" spans="1:8">
      <c r="A455" s="28" t="s">
        <v>21</v>
      </c>
      <c r="B455" s="15" t="s">
        <v>442</v>
      </c>
      <c r="C455" s="15" t="s">
        <v>22</v>
      </c>
      <c r="D455" s="42"/>
      <c r="E455" s="42"/>
      <c r="F455" s="13">
        <f t="shared" si="23"/>
        <v>0</v>
      </c>
      <c r="G455" s="42"/>
      <c r="H455" s="17"/>
    </row>
    <row r="456" spans="1:8" ht="25.5">
      <c r="A456" s="28" t="s">
        <v>183</v>
      </c>
      <c r="B456" s="15" t="s">
        <v>184</v>
      </c>
      <c r="C456" s="15"/>
      <c r="D456" s="42">
        <f>SUBTOTAL(9,D457:D459)</f>
        <v>2386.44</v>
      </c>
      <c r="E456" s="42">
        <f>SUBTOTAL(9,E457:E459)</f>
        <v>2264.0700000000002</v>
      </c>
      <c r="F456" s="13">
        <f t="shared" si="23"/>
        <v>97.369999999999891</v>
      </c>
      <c r="G456" s="42">
        <f>SUBTOTAL(9,G457:G459)</f>
        <v>2361.44</v>
      </c>
      <c r="H456" s="17">
        <f>SUBTOTAL(9,H457:H459)</f>
        <v>2361.44</v>
      </c>
    </row>
    <row r="457" spans="1:8" ht="38.25">
      <c r="A457" s="28" t="s">
        <v>104</v>
      </c>
      <c r="B457" s="15" t="s">
        <v>184</v>
      </c>
      <c r="C457" s="4" t="s">
        <v>42</v>
      </c>
      <c r="D457" s="42">
        <v>1813.7</v>
      </c>
      <c r="E457" s="42">
        <v>1738.92</v>
      </c>
      <c r="F457" s="13">
        <f t="shared" si="23"/>
        <v>74.779999999999973</v>
      </c>
      <c r="G457" s="42">
        <v>1813.7</v>
      </c>
      <c r="H457" s="17">
        <v>1813.7</v>
      </c>
    </row>
    <row r="458" spans="1:8" ht="38.25">
      <c r="A458" s="28" t="s">
        <v>46</v>
      </c>
      <c r="B458" s="15" t="s">
        <v>184</v>
      </c>
      <c r="C458" s="4">
        <v>122</v>
      </c>
      <c r="D458" s="42">
        <v>25</v>
      </c>
      <c r="E458" s="42"/>
      <c r="F458" s="13">
        <f t="shared" si="23"/>
        <v>0</v>
      </c>
      <c r="G458" s="42"/>
      <c r="H458" s="17"/>
    </row>
    <row r="459" spans="1:8" ht="51">
      <c r="A459" s="28" t="s">
        <v>43</v>
      </c>
      <c r="B459" s="15" t="s">
        <v>184</v>
      </c>
      <c r="C459" s="4" t="s">
        <v>44</v>
      </c>
      <c r="D459" s="42">
        <v>547.74</v>
      </c>
      <c r="E459" s="42">
        <v>525.15</v>
      </c>
      <c r="F459" s="13">
        <f t="shared" si="23"/>
        <v>22.590000000000032</v>
      </c>
      <c r="G459" s="42">
        <v>547.74</v>
      </c>
      <c r="H459" s="17">
        <v>547.74</v>
      </c>
    </row>
    <row r="460" spans="1:8" ht="25.5">
      <c r="A460" s="28" t="s">
        <v>185</v>
      </c>
      <c r="B460" s="15" t="s">
        <v>186</v>
      </c>
      <c r="C460" s="15"/>
      <c r="D460" s="42">
        <f>SUBTOTAL(9,D461:D463)</f>
        <v>1435.0800000000002</v>
      </c>
      <c r="E460" s="42">
        <f>SUBTOTAL(9,E461:E463)</f>
        <v>1373.1</v>
      </c>
      <c r="F460" s="13">
        <f t="shared" si="23"/>
        <v>58.980000000000246</v>
      </c>
      <c r="G460" s="42">
        <f>SUBTOTAL(9,G461:G463)</f>
        <v>1432.0800000000002</v>
      </c>
      <c r="H460" s="17">
        <f>SUBTOTAL(9,H461:H463)</f>
        <v>1432.0800000000002</v>
      </c>
    </row>
    <row r="461" spans="1:8" ht="38.25">
      <c r="A461" s="28" t="s">
        <v>104</v>
      </c>
      <c r="B461" s="15" t="s">
        <v>186</v>
      </c>
      <c r="C461" s="4" t="s">
        <v>42</v>
      </c>
      <c r="D461" s="42">
        <v>1099.9100000000001</v>
      </c>
      <c r="E461" s="42">
        <v>1054.5999999999999</v>
      </c>
      <c r="F461" s="13">
        <f t="shared" si="23"/>
        <v>45.310000000000173</v>
      </c>
      <c r="G461" s="42">
        <v>1099.9100000000001</v>
      </c>
      <c r="H461" s="17">
        <v>1099.9100000000001</v>
      </c>
    </row>
    <row r="462" spans="1:8" ht="38.25">
      <c r="A462" s="28" t="s">
        <v>46</v>
      </c>
      <c r="B462" s="15" t="s">
        <v>186</v>
      </c>
      <c r="C462" s="4">
        <v>122</v>
      </c>
      <c r="D462" s="42">
        <v>3</v>
      </c>
      <c r="E462" s="42"/>
      <c r="F462" s="13">
        <f t="shared" si="23"/>
        <v>0</v>
      </c>
      <c r="G462" s="42"/>
      <c r="H462" s="17"/>
    </row>
    <row r="463" spans="1:8" ht="51">
      <c r="A463" s="28" t="s">
        <v>276</v>
      </c>
      <c r="B463" s="15" t="s">
        <v>186</v>
      </c>
      <c r="C463" s="4" t="s">
        <v>44</v>
      </c>
      <c r="D463" s="42">
        <v>332.17</v>
      </c>
      <c r="E463" s="42">
        <v>318.5</v>
      </c>
      <c r="F463" s="13">
        <f t="shared" si="23"/>
        <v>13.670000000000016</v>
      </c>
      <c r="G463" s="42">
        <v>332.17</v>
      </c>
      <c r="H463" s="17">
        <v>332.17</v>
      </c>
    </row>
    <row r="464" spans="1:8" ht="51">
      <c r="A464" s="28" t="s">
        <v>204</v>
      </c>
      <c r="B464" s="15" t="s">
        <v>205</v>
      </c>
      <c r="C464" s="4"/>
      <c r="D464" s="42">
        <f>SUBTOTAL(9,D465:D468)</f>
        <v>135.5</v>
      </c>
      <c r="E464" s="42">
        <f>SUBTOTAL(9,E465:E468)</f>
        <v>121.9</v>
      </c>
      <c r="F464" s="13">
        <f t="shared" si="23"/>
        <v>-3.3000000000000114</v>
      </c>
      <c r="G464" s="42">
        <f>SUBTOTAL(9,G465:G468)</f>
        <v>118.6</v>
      </c>
      <c r="H464" s="17">
        <f>SUBTOTAL(9,H465:H468)</f>
        <v>118.6</v>
      </c>
    </row>
    <row r="465" spans="1:8" ht="38.25">
      <c r="A465" s="28" t="s">
        <v>104</v>
      </c>
      <c r="B465" s="15" t="s">
        <v>205</v>
      </c>
      <c r="C465" s="15" t="s">
        <v>42</v>
      </c>
      <c r="D465" s="42">
        <v>95</v>
      </c>
      <c r="E465" s="42">
        <v>84.7</v>
      </c>
      <c r="F465" s="13">
        <f t="shared" si="23"/>
        <v>10.299999999999997</v>
      </c>
      <c r="G465" s="42">
        <v>95</v>
      </c>
      <c r="H465" s="17">
        <v>95</v>
      </c>
    </row>
    <row r="466" spans="1:8" ht="38.25">
      <c r="A466" s="28" t="s">
        <v>46</v>
      </c>
      <c r="B466" s="15" t="s">
        <v>205</v>
      </c>
      <c r="C466" s="15" t="s">
        <v>47</v>
      </c>
      <c r="D466" s="42">
        <v>3.8</v>
      </c>
      <c r="E466" s="42"/>
      <c r="F466" s="13">
        <f t="shared" si="23"/>
        <v>0</v>
      </c>
      <c r="G466" s="42"/>
      <c r="H466" s="17"/>
    </row>
    <row r="467" spans="1:8" ht="51">
      <c r="A467" s="28" t="s">
        <v>276</v>
      </c>
      <c r="B467" s="15" t="s">
        <v>205</v>
      </c>
      <c r="C467" s="15" t="s">
        <v>44</v>
      </c>
      <c r="D467" s="42">
        <v>28.7</v>
      </c>
      <c r="E467" s="42">
        <v>25.62</v>
      </c>
      <c r="F467" s="13">
        <f t="shared" si="23"/>
        <v>-2.0199999999999996</v>
      </c>
      <c r="G467" s="42">
        <f>28.7-5.1</f>
        <v>23.6</v>
      </c>
      <c r="H467" s="17">
        <f>28.7-5.1</f>
        <v>23.6</v>
      </c>
    </row>
    <row r="468" spans="1:8" ht="25.5">
      <c r="A468" s="28" t="s">
        <v>19</v>
      </c>
      <c r="B468" s="15" t="s">
        <v>205</v>
      </c>
      <c r="C468" s="15" t="s">
        <v>20</v>
      </c>
      <c r="D468" s="42">
        <v>8</v>
      </c>
      <c r="E468" s="42">
        <v>11.58</v>
      </c>
      <c r="F468" s="13">
        <f t="shared" si="23"/>
        <v>-11.58</v>
      </c>
      <c r="G468" s="42"/>
      <c r="H468" s="17"/>
    </row>
    <row r="469" spans="1:8" s="47" customFormat="1" ht="63.75">
      <c r="A469" s="28" t="s">
        <v>218</v>
      </c>
      <c r="B469" s="16" t="s">
        <v>219</v>
      </c>
      <c r="C469" s="15"/>
      <c r="D469" s="42">
        <f>SUBTOTAL(9,D470:D472)</f>
        <v>460.8</v>
      </c>
      <c r="E469" s="42">
        <f>SUBTOTAL(9,E470:E472)</f>
        <v>434.1</v>
      </c>
      <c r="F469" s="13">
        <f t="shared" si="23"/>
        <v>57.199999999999989</v>
      </c>
      <c r="G469" s="42">
        <f>SUBTOTAL(9,G470:G472)</f>
        <v>491.3</v>
      </c>
      <c r="H469" s="17">
        <f>SUBTOTAL(9,H470:H472)</f>
        <v>491.3</v>
      </c>
    </row>
    <row r="470" spans="1:8" ht="38.25">
      <c r="A470" s="28" t="s">
        <v>104</v>
      </c>
      <c r="B470" s="16" t="s">
        <v>219</v>
      </c>
      <c r="C470" s="15" t="s">
        <v>42</v>
      </c>
      <c r="D470" s="42">
        <v>354</v>
      </c>
      <c r="E470" s="42">
        <v>333.1</v>
      </c>
      <c r="F470" s="13">
        <f t="shared" si="23"/>
        <v>76.199999999999989</v>
      </c>
      <c r="G470" s="42">
        <f>491.3-82</f>
        <v>409.3</v>
      </c>
      <c r="H470" s="17">
        <f>491.3-82</f>
        <v>409.3</v>
      </c>
    </row>
    <row r="471" spans="1:8" ht="51">
      <c r="A471" s="28" t="s">
        <v>276</v>
      </c>
      <c r="B471" s="16" t="s">
        <v>219</v>
      </c>
      <c r="C471" s="15" t="s">
        <v>44</v>
      </c>
      <c r="D471" s="42">
        <v>106.8</v>
      </c>
      <c r="E471" s="42">
        <v>101</v>
      </c>
      <c r="F471" s="13">
        <f t="shared" si="23"/>
        <v>-19</v>
      </c>
      <c r="G471" s="42">
        <f>106.8-20.8-4</f>
        <v>82</v>
      </c>
      <c r="H471" s="17">
        <f>106.8-20.8-4</f>
        <v>82</v>
      </c>
    </row>
    <row r="472" spans="1:8" ht="25.5">
      <c r="A472" s="28" t="s">
        <v>19</v>
      </c>
      <c r="B472" s="16" t="s">
        <v>219</v>
      </c>
      <c r="C472" s="15" t="s">
        <v>20</v>
      </c>
      <c r="D472" s="42"/>
      <c r="E472" s="42"/>
      <c r="F472" s="13">
        <f t="shared" si="23"/>
        <v>0</v>
      </c>
      <c r="G472" s="42"/>
      <c r="H472" s="17"/>
    </row>
    <row r="473" spans="1:8">
      <c r="A473" s="28" t="s">
        <v>194</v>
      </c>
      <c r="B473" s="15" t="s">
        <v>195</v>
      </c>
      <c r="C473" s="15"/>
      <c r="D473" s="42">
        <f>SUBTOTAL(9,D474:D476)</f>
        <v>3030.18</v>
      </c>
      <c r="E473" s="42">
        <f>SUBTOTAL(9,E474:E476)</f>
        <v>2641.42</v>
      </c>
      <c r="F473" s="13">
        <f t="shared" si="23"/>
        <v>288.75999999999976</v>
      </c>
      <c r="G473" s="42">
        <f>SUBTOTAL(9,G474:G476)</f>
        <v>2930.18</v>
      </c>
      <c r="H473" s="17">
        <f>SUBTOTAL(9,H474:H476)</f>
        <v>2930.18</v>
      </c>
    </row>
    <row r="474" spans="1:8" ht="38.25">
      <c r="A474" s="28" t="s">
        <v>104</v>
      </c>
      <c r="B474" s="15" t="s">
        <v>195</v>
      </c>
      <c r="C474" s="4" t="s">
        <v>42</v>
      </c>
      <c r="D474" s="42">
        <v>2317.5</v>
      </c>
      <c r="E474" s="42">
        <v>2028.74</v>
      </c>
      <c r="F474" s="13">
        <f t="shared" si="23"/>
        <v>288.76</v>
      </c>
      <c r="G474" s="42">
        <v>2317.5</v>
      </c>
      <c r="H474" s="17">
        <v>2317.5</v>
      </c>
    </row>
    <row r="475" spans="1:8" ht="38.25">
      <c r="A475" s="28" t="s">
        <v>105</v>
      </c>
      <c r="B475" s="15" t="s">
        <v>195</v>
      </c>
      <c r="C475" s="4">
        <v>122</v>
      </c>
      <c r="D475" s="42">
        <v>100</v>
      </c>
      <c r="E475" s="42"/>
      <c r="F475" s="13">
        <f t="shared" si="23"/>
        <v>0</v>
      </c>
      <c r="G475" s="42"/>
      <c r="H475" s="17"/>
    </row>
    <row r="476" spans="1:8" s="47" customFormat="1" ht="51">
      <c r="A476" s="28" t="s">
        <v>43</v>
      </c>
      <c r="B476" s="15" t="s">
        <v>195</v>
      </c>
      <c r="C476" s="4" t="s">
        <v>44</v>
      </c>
      <c r="D476" s="42">
        <v>612.67999999999995</v>
      </c>
      <c r="E476" s="42">
        <v>612.67999999999995</v>
      </c>
      <c r="F476" s="13">
        <f t="shared" si="23"/>
        <v>0</v>
      </c>
      <c r="G476" s="42">
        <v>612.67999999999995</v>
      </c>
      <c r="H476" s="17">
        <v>612.67999999999995</v>
      </c>
    </row>
    <row r="477" spans="1:8" s="47" customFormat="1">
      <c r="A477" s="37" t="s">
        <v>249</v>
      </c>
      <c r="B477" s="4" t="s">
        <v>250</v>
      </c>
      <c r="C477" s="4" t="s">
        <v>192</v>
      </c>
      <c r="D477" s="42"/>
      <c r="E477" s="42">
        <f>22600+800</f>
        <v>23400</v>
      </c>
      <c r="F477" s="13">
        <f t="shared" si="23"/>
        <v>-11200</v>
      </c>
      <c r="G477" s="42">
        <v>12200</v>
      </c>
      <c r="H477" s="17">
        <v>24700</v>
      </c>
    </row>
    <row r="478" spans="1:8" s="47" customFormat="1">
      <c r="A478" s="57" t="s">
        <v>251</v>
      </c>
      <c r="B478" s="54"/>
      <c r="C478" s="54"/>
      <c r="D478" s="43" t="e">
        <f>D10+D58+D197+D231+D331+D354+#REF!</f>
        <v>#REF!</v>
      </c>
      <c r="E478" s="43" t="e">
        <f>E10+E58+E197+E231+E331+E354+#REF!</f>
        <v>#REF!</v>
      </c>
      <c r="F478" s="12">
        <v>153179.90000000026</v>
      </c>
      <c r="G478" s="43">
        <v>1104735.2</v>
      </c>
      <c r="H478" s="21">
        <v>887683.4</v>
      </c>
    </row>
    <row r="479" spans="1:8" s="52" customFormat="1">
      <c r="A479" s="61"/>
      <c r="B479" s="62"/>
      <c r="C479" s="62"/>
      <c r="D479" s="51"/>
      <c r="E479" s="51"/>
      <c r="F479" s="51"/>
      <c r="G479" s="51"/>
      <c r="H479" s="51"/>
    </row>
    <row r="480" spans="1:8" s="52" customFormat="1">
      <c r="A480" s="61"/>
      <c r="B480" s="62"/>
      <c r="C480" s="62"/>
      <c r="D480" s="51"/>
      <c r="E480" s="51"/>
      <c r="F480" s="51"/>
      <c r="G480" s="51"/>
      <c r="H480" s="51"/>
    </row>
    <row r="481" spans="1:8" s="51" customFormat="1">
      <c r="A481" s="61"/>
      <c r="B481" s="62"/>
      <c r="C481" s="62"/>
      <c r="F481" s="63"/>
    </row>
    <row r="482" spans="1:8" s="52" customFormat="1">
      <c r="A482" s="61"/>
      <c r="B482" s="62"/>
      <c r="C482" s="62"/>
      <c r="D482" s="51"/>
      <c r="E482" s="51"/>
      <c r="F482" s="63"/>
      <c r="G482" s="51"/>
      <c r="H482" s="51"/>
    </row>
    <row r="483" spans="1:8" s="51" customFormat="1">
      <c r="A483" s="61"/>
      <c r="B483" s="62"/>
      <c r="C483" s="62"/>
      <c r="F483" s="63"/>
    </row>
    <row r="484" spans="1:8" s="52" customFormat="1">
      <c r="A484" s="61"/>
      <c r="B484" s="62"/>
      <c r="C484" s="62"/>
      <c r="D484" s="51"/>
      <c r="E484" s="51"/>
      <c r="F484" s="63"/>
      <c r="G484" s="51"/>
      <c r="H484" s="51"/>
    </row>
    <row r="485" spans="1:8" s="52" customFormat="1">
      <c r="A485" s="61"/>
      <c r="B485" s="62"/>
      <c r="C485" s="62"/>
      <c r="D485" s="51"/>
      <c r="E485" s="51"/>
      <c r="F485" s="51"/>
      <c r="G485" s="51"/>
      <c r="H485" s="51"/>
    </row>
    <row r="486" spans="1:8" s="52" customFormat="1">
      <c r="A486" s="61"/>
      <c r="B486" s="62"/>
      <c r="C486" s="62"/>
      <c r="D486" s="51"/>
      <c r="E486" s="51"/>
      <c r="F486" s="51"/>
      <c r="G486" s="51"/>
      <c r="H486" s="51"/>
    </row>
    <row r="487" spans="1:8" s="52" customFormat="1">
      <c r="A487" s="61"/>
      <c r="B487" s="62"/>
      <c r="C487" s="62"/>
      <c r="D487" s="51"/>
      <c r="E487" s="51"/>
      <c r="F487" s="51"/>
      <c r="G487" s="51"/>
      <c r="H487" s="51"/>
    </row>
    <row r="488" spans="1:8" s="52" customFormat="1">
      <c r="A488" s="61"/>
      <c r="B488" s="62"/>
      <c r="C488" s="62"/>
      <c r="D488" s="51"/>
      <c r="E488" s="51"/>
      <c r="F488" s="51"/>
      <c r="G488" s="51"/>
      <c r="H488" s="51"/>
    </row>
    <row r="489" spans="1:8" s="52" customFormat="1">
      <c r="A489" s="61"/>
      <c r="B489" s="62"/>
      <c r="C489" s="62"/>
      <c r="D489" s="51"/>
      <c r="E489" s="51"/>
      <c r="F489" s="51"/>
      <c r="G489" s="51"/>
      <c r="H489" s="51"/>
    </row>
    <row r="490" spans="1:8" s="52" customFormat="1">
      <c r="A490" s="61"/>
      <c r="B490" s="62"/>
      <c r="C490" s="62"/>
      <c r="D490" s="51"/>
      <c r="E490" s="51"/>
      <c r="F490" s="51"/>
      <c r="G490" s="51"/>
      <c r="H490" s="51"/>
    </row>
    <row r="491" spans="1:8" s="52" customFormat="1">
      <c r="A491" s="61"/>
      <c r="B491" s="62"/>
      <c r="C491" s="62"/>
      <c r="D491" s="51"/>
      <c r="E491" s="51"/>
      <c r="F491" s="51"/>
      <c r="G491" s="51"/>
      <c r="H491" s="51"/>
    </row>
    <row r="492" spans="1:8" s="52" customFormat="1">
      <c r="A492" s="61"/>
      <c r="B492" s="62"/>
      <c r="C492" s="62"/>
      <c r="D492" s="51"/>
      <c r="E492" s="51"/>
      <c r="F492" s="51"/>
      <c r="G492" s="51"/>
      <c r="H492" s="51"/>
    </row>
    <row r="493" spans="1:8" s="52" customFormat="1">
      <c r="A493" s="61"/>
      <c r="B493" s="62"/>
      <c r="C493" s="62"/>
      <c r="D493" s="51"/>
      <c r="E493" s="51"/>
      <c r="F493" s="51"/>
      <c r="G493" s="51"/>
      <c r="H493" s="51"/>
    </row>
    <row r="494" spans="1:8" s="52" customFormat="1">
      <c r="A494" s="61"/>
      <c r="B494" s="62"/>
      <c r="C494" s="62"/>
      <c r="D494" s="51"/>
      <c r="E494" s="51"/>
      <c r="F494" s="51"/>
      <c r="G494" s="51"/>
      <c r="H494" s="51"/>
    </row>
    <row r="495" spans="1:8" s="52" customFormat="1">
      <c r="A495" s="61"/>
      <c r="B495" s="62"/>
      <c r="C495" s="62"/>
      <c r="D495" s="51"/>
      <c r="E495" s="51"/>
      <c r="F495" s="51"/>
      <c r="G495" s="51"/>
      <c r="H495" s="51"/>
    </row>
    <row r="496" spans="1:8" s="52" customFormat="1">
      <c r="A496" s="61"/>
      <c r="B496" s="62"/>
      <c r="C496" s="62"/>
      <c r="D496" s="51"/>
      <c r="E496" s="51"/>
      <c r="F496" s="51"/>
      <c r="G496" s="51"/>
      <c r="H496" s="51"/>
    </row>
    <row r="497" spans="1:8" s="52" customFormat="1">
      <c r="A497" s="61"/>
      <c r="B497" s="62"/>
      <c r="C497" s="62"/>
      <c r="D497" s="51"/>
      <c r="E497" s="51"/>
      <c r="F497" s="51"/>
      <c r="G497" s="51"/>
      <c r="H497" s="51"/>
    </row>
    <row r="498" spans="1:8" s="52" customFormat="1">
      <c r="A498" s="61"/>
      <c r="B498" s="62"/>
      <c r="C498" s="62"/>
      <c r="D498" s="51"/>
      <c r="E498" s="51"/>
      <c r="F498" s="51"/>
      <c r="G498" s="51"/>
      <c r="H498" s="51"/>
    </row>
    <row r="499" spans="1:8" s="52" customFormat="1">
      <c r="A499" s="61"/>
      <c r="B499" s="62"/>
      <c r="C499" s="62"/>
      <c r="D499" s="51"/>
      <c r="E499" s="51"/>
      <c r="F499" s="51"/>
      <c r="G499" s="51"/>
      <c r="H499" s="51"/>
    </row>
    <row r="500" spans="1:8" s="52" customFormat="1">
      <c r="A500" s="61"/>
      <c r="B500" s="62"/>
      <c r="C500" s="62"/>
      <c r="D500" s="51"/>
      <c r="E500" s="51"/>
      <c r="F500" s="51"/>
      <c r="G500" s="51"/>
      <c r="H500" s="51"/>
    </row>
    <row r="501" spans="1:8" s="52" customFormat="1">
      <c r="A501" s="61"/>
      <c r="B501" s="62"/>
      <c r="C501" s="62"/>
      <c r="D501" s="51"/>
      <c r="E501" s="51"/>
      <c r="F501" s="51"/>
      <c r="G501" s="51"/>
      <c r="H501" s="51"/>
    </row>
    <row r="502" spans="1:8" s="52" customFormat="1">
      <c r="A502" s="61"/>
      <c r="B502" s="62"/>
      <c r="C502" s="62"/>
      <c r="D502" s="51"/>
      <c r="E502" s="51"/>
      <c r="F502" s="51"/>
      <c r="G502" s="51"/>
      <c r="H502" s="51"/>
    </row>
    <row r="503" spans="1:8" s="52" customFormat="1">
      <c r="A503" s="61"/>
      <c r="B503" s="62"/>
      <c r="C503" s="62"/>
      <c r="D503" s="51"/>
      <c r="E503" s="51"/>
      <c r="F503" s="51"/>
      <c r="G503" s="51"/>
      <c r="H503" s="51"/>
    </row>
    <row r="504" spans="1:8" s="52" customFormat="1">
      <c r="A504" s="61"/>
      <c r="B504" s="62"/>
      <c r="C504" s="62"/>
      <c r="D504" s="51"/>
      <c r="E504" s="51"/>
      <c r="F504" s="51"/>
      <c r="G504" s="51"/>
      <c r="H504" s="51"/>
    </row>
    <row r="505" spans="1:8" s="52" customFormat="1">
      <c r="A505" s="61"/>
      <c r="B505" s="62"/>
      <c r="C505" s="62"/>
      <c r="D505" s="51"/>
      <c r="E505" s="51"/>
      <c r="F505" s="51"/>
      <c r="G505" s="51"/>
      <c r="H505" s="51"/>
    </row>
    <row r="506" spans="1:8" s="52" customFormat="1">
      <c r="A506" s="61"/>
      <c r="B506" s="62"/>
      <c r="C506" s="62"/>
      <c r="D506" s="51"/>
      <c r="E506" s="51"/>
      <c r="F506" s="51"/>
      <c r="G506" s="51"/>
      <c r="H506" s="51"/>
    </row>
    <row r="507" spans="1:8" s="52" customFormat="1">
      <c r="A507" s="61"/>
      <c r="B507" s="62"/>
      <c r="C507" s="62"/>
      <c r="D507" s="51"/>
      <c r="E507" s="51"/>
      <c r="F507" s="51"/>
      <c r="G507" s="51"/>
      <c r="H507" s="51"/>
    </row>
    <row r="508" spans="1:8" s="52" customFormat="1">
      <c r="A508" s="61"/>
      <c r="B508" s="62"/>
      <c r="C508" s="62"/>
      <c r="D508" s="51"/>
      <c r="E508" s="51"/>
      <c r="F508" s="51"/>
      <c r="G508" s="51"/>
      <c r="H508" s="51"/>
    </row>
    <row r="509" spans="1:8" s="52" customFormat="1">
      <c r="A509" s="61"/>
      <c r="B509" s="62"/>
      <c r="C509" s="62"/>
      <c r="D509" s="51"/>
      <c r="E509" s="51"/>
      <c r="F509" s="51"/>
      <c r="G509" s="51"/>
      <c r="H509" s="51"/>
    </row>
    <row r="510" spans="1:8" s="52" customFormat="1">
      <c r="A510" s="61"/>
      <c r="B510" s="62"/>
      <c r="C510" s="62"/>
      <c r="D510" s="51"/>
      <c r="E510" s="51"/>
      <c r="F510" s="51"/>
      <c r="G510" s="51"/>
      <c r="H510" s="51"/>
    </row>
    <row r="511" spans="1:8" s="52" customFormat="1">
      <c r="A511" s="61"/>
      <c r="B511" s="62"/>
      <c r="C511" s="62"/>
      <c r="D511" s="51"/>
      <c r="E511" s="51"/>
      <c r="F511" s="51"/>
      <c r="G511" s="51"/>
      <c r="H511" s="51"/>
    </row>
    <row r="512" spans="1:8" s="52" customFormat="1">
      <c r="A512" s="61"/>
      <c r="B512" s="62"/>
      <c r="C512" s="62"/>
      <c r="D512" s="51"/>
      <c r="E512" s="51"/>
      <c r="F512" s="51"/>
      <c r="G512" s="51"/>
      <c r="H512" s="51"/>
    </row>
    <row r="513" spans="1:8" s="52" customFormat="1">
      <c r="A513" s="61"/>
      <c r="B513" s="62"/>
      <c r="C513" s="62"/>
      <c r="D513" s="51"/>
      <c r="E513" s="51"/>
      <c r="F513" s="51"/>
      <c r="G513" s="51"/>
      <c r="H513" s="51"/>
    </row>
    <row r="514" spans="1:8" s="52" customFormat="1">
      <c r="A514" s="61"/>
      <c r="B514" s="62"/>
      <c r="C514" s="62"/>
      <c r="D514" s="51"/>
      <c r="E514" s="51"/>
      <c r="F514" s="51"/>
      <c r="G514" s="51"/>
      <c r="H514" s="51"/>
    </row>
    <row r="515" spans="1:8" s="52" customFormat="1">
      <c r="A515" s="61"/>
      <c r="B515" s="62"/>
      <c r="C515" s="62"/>
      <c r="D515" s="51"/>
      <c r="E515" s="51"/>
      <c r="F515" s="51"/>
      <c r="G515" s="51"/>
      <c r="H515" s="51"/>
    </row>
    <row r="516" spans="1:8" s="52" customFormat="1">
      <c r="A516" s="61"/>
      <c r="B516" s="62"/>
      <c r="C516" s="62"/>
      <c r="D516" s="51"/>
      <c r="E516" s="51"/>
      <c r="F516" s="51"/>
      <c r="G516" s="51"/>
      <c r="H516" s="51"/>
    </row>
    <row r="517" spans="1:8" s="52" customFormat="1">
      <c r="A517" s="61"/>
      <c r="B517" s="62"/>
      <c r="C517" s="62"/>
      <c r="D517" s="51"/>
      <c r="E517" s="51"/>
      <c r="F517" s="51"/>
      <c r="G517" s="51"/>
      <c r="H517" s="51"/>
    </row>
    <row r="518" spans="1:8" s="52" customFormat="1">
      <c r="A518" s="61"/>
      <c r="B518" s="62"/>
      <c r="C518" s="62"/>
      <c r="D518" s="51"/>
      <c r="E518" s="51"/>
      <c r="F518" s="51"/>
      <c r="G518" s="51"/>
      <c r="H518" s="51"/>
    </row>
    <row r="519" spans="1:8" s="52" customFormat="1">
      <c r="A519" s="61"/>
      <c r="B519" s="62"/>
      <c r="C519" s="62"/>
      <c r="D519" s="51"/>
      <c r="E519" s="51"/>
      <c r="F519" s="51"/>
      <c r="G519" s="51"/>
      <c r="H519" s="51"/>
    </row>
    <row r="520" spans="1:8" s="52" customFormat="1">
      <c r="A520" s="61"/>
      <c r="B520" s="62"/>
      <c r="C520" s="62"/>
      <c r="D520" s="51"/>
      <c r="E520" s="51"/>
      <c r="F520" s="51"/>
      <c r="G520" s="51"/>
      <c r="H520" s="51"/>
    </row>
    <row r="521" spans="1:8" s="52" customFormat="1">
      <c r="A521" s="61"/>
      <c r="B521" s="62"/>
      <c r="C521" s="62"/>
      <c r="D521" s="51"/>
      <c r="E521" s="51"/>
      <c r="F521" s="51"/>
      <c r="G521" s="51"/>
      <c r="H521" s="51"/>
    </row>
    <row r="522" spans="1:8" s="52" customFormat="1">
      <c r="A522" s="61"/>
      <c r="B522" s="62"/>
      <c r="C522" s="62"/>
      <c r="D522" s="51"/>
      <c r="E522" s="51"/>
      <c r="F522" s="51"/>
      <c r="G522" s="51"/>
      <c r="H522" s="51"/>
    </row>
    <row r="523" spans="1:8" s="52" customFormat="1">
      <c r="A523" s="61"/>
      <c r="B523" s="62"/>
      <c r="C523" s="62"/>
      <c r="D523" s="51"/>
      <c r="E523" s="51"/>
      <c r="F523" s="51"/>
      <c r="G523" s="51"/>
      <c r="H523" s="51"/>
    </row>
    <row r="524" spans="1:8" s="52" customFormat="1">
      <c r="A524" s="61"/>
      <c r="B524" s="62"/>
      <c r="C524" s="62"/>
      <c r="D524" s="51"/>
      <c r="E524" s="51"/>
      <c r="F524" s="51"/>
      <c r="G524" s="51"/>
      <c r="H524" s="51"/>
    </row>
    <row r="525" spans="1:8" s="52" customFormat="1">
      <c r="A525" s="61"/>
      <c r="B525" s="62"/>
      <c r="C525" s="62"/>
      <c r="D525" s="51"/>
      <c r="E525" s="51"/>
      <c r="F525" s="51"/>
      <c r="G525" s="51"/>
      <c r="H525" s="51"/>
    </row>
    <row r="526" spans="1:8" s="52" customFormat="1">
      <c r="A526" s="61"/>
      <c r="B526" s="62"/>
      <c r="C526" s="62"/>
      <c r="D526" s="51"/>
      <c r="E526" s="51"/>
      <c r="F526" s="51"/>
      <c r="G526" s="51"/>
      <c r="H526" s="51"/>
    </row>
    <row r="527" spans="1:8" s="52" customFormat="1">
      <c r="A527" s="61"/>
      <c r="B527" s="62"/>
      <c r="C527" s="62"/>
      <c r="D527" s="51"/>
      <c r="E527" s="51"/>
      <c r="F527" s="51"/>
      <c r="G527" s="51"/>
      <c r="H527" s="51"/>
    </row>
    <row r="528" spans="1:8" s="52" customFormat="1">
      <c r="A528" s="61"/>
      <c r="B528" s="62"/>
      <c r="C528" s="62"/>
      <c r="D528" s="51"/>
      <c r="E528" s="51"/>
      <c r="F528" s="51"/>
      <c r="G528" s="51"/>
      <c r="H528" s="51"/>
    </row>
    <row r="529" spans="1:8" s="52" customFormat="1">
      <c r="A529" s="61"/>
      <c r="B529" s="62"/>
      <c r="C529" s="62"/>
      <c r="D529" s="51"/>
      <c r="E529" s="51"/>
      <c r="F529" s="51"/>
      <c r="G529" s="51"/>
      <c r="H529" s="51"/>
    </row>
    <row r="530" spans="1:8" s="52" customFormat="1">
      <c r="A530" s="61"/>
      <c r="B530" s="62"/>
      <c r="C530" s="62"/>
      <c r="D530" s="51"/>
      <c r="E530" s="51"/>
      <c r="F530" s="51"/>
      <c r="G530" s="51"/>
      <c r="H530" s="51"/>
    </row>
    <row r="531" spans="1:8" s="52" customFormat="1">
      <c r="A531" s="61"/>
      <c r="B531" s="62"/>
      <c r="C531" s="62"/>
      <c r="D531" s="51"/>
      <c r="E531" s="51"/>
      <c r="F531" s="51"/>
      <c r="G531" s="51"/>
      <c r="H531" s="51"/>
    </row>
    <row r="532" spans="1:8" s="52" customFormat="1">
      <c r="A532" s="61"/>
      <c r="B532" s="62"/>
      <c r="C532" s="62"/>
      <c r="D532" s="51"/>
      <c r="E532" s="51"/>
      <c r="F532" s="51"/>
      <c r="G532" s="51"/>
      <c r="H532" s="51"/>
    </row>
    <row r="533" spans="1:8" s="52" customFormat="1">
      <c r="A533" s="61"/>
      <c r="B533" s="62"/>
      <c r="C533" s="62"/>
      <c r="D533" s="51"/>
      <c r="E533" s="51"/>
      <c r="F533" s="51"/>
      <c r="G533" s="51"/>
      <c r="H533" s="51"/>
    </row>
  </sheetData>
  <autoFilter ref="A9:H478"/>
  <sortState ref="A10:H657">
    <sortCondition ref="B10:B657"/>
  </sortState>
  <mergeCells count="12">
    <mergeCell ref="F1:H2"/>
    <mergeCell ref="D2:D3"/>
    <mergeCell ref="A4:H4"/>
    <mergeCell ref="A5:D5"/>
    <mergeCell ref="G7:G8"/>
    <mergeCell ref="H7:H8"/>
    <mergeCell ref="A6:A8"/>
    <mergeCell ref="B6:C6"/>
    <mergeCell ref="B7:C7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46"/>
  <sheetViews>
    <sheetView tabSelected="1" view="pageBreakPreview" zoomScaleNormal="75" zoomScaleSheetLayoutView="100" workbookViewId="0">
      <selection activeCell="C6" sqref="C6"/>
    </sheetView>
  </sheetViews>
  <sheetFormatPr defaultRowHeight="15.75"/>
  <cols>
    <col min="1" max="1" width="53.42578125" style="73" customWidth="1"/>
    <col min="2" max="2" width="29.5703125" style="73" customWidth="1"/>
    <col min="3" max="3" width="21" style="99" customWidth="1"/>
    <col min="4" max="4" width="19.42578125" style="73" customWidth="1"/>
    <col min="5" max="5" width="23" style="73" customWidth="1"/>
    <col min="6" max="9" width="9.140625" style="73" customWidth="1"/>
    <col min="10" max="256" width="9.140625" style="73"/>
    <col min="257" max="257" width="53.42578125" style="73" customWidth="1"/>
    <col min="258" max="258" width="29.5703125" style="73" customWidth="1"/>
    <col min="259" max="259" width="20.7109375" style="73" customWidth="1"/>
    <col min="260" max="265" width="9.140625" style="73" customWidth="1"/>
    <col min="266" max="512" width="9.140625" style="73"/>
    <col min="513" max="513" width="53.42578125" style="73" customWidth="1"/>
    <col min="514" max="514" width="29.5703125" style="73" customWidth="1"/>
    <col min="515" max="515" width="20.7109375" style="73" customWidth="1"/>
    <col min="516" max="521" width="9.140625" style="73" customWidth="1"/>
    <col min="522" max="768" width="9.140625" style="73"/>
    <col min="769" max="769" width="53.42578125" style="73" customWidth="1"/>
    <col min="770" max="770" width="29.5703125" style="73" customWidth="1"/>
    <col min="771" max="771" width="20.7109375" style="73" customWidth="1"/>
    <col min="772" max="777" width="9.140625" style="73" customWidth="1"/>
    <col min="778" max="1024" width="9.140625" style="73"/>
    <col min="1025" max="1025" width="53.42578125" style="73" customWidth="1"/>
    <col min="1026" max="1026" width="29.5703125" style="73" customWidth="1"/>
    <col min="1027" max="1027" width="20.7109375" style="73" customWidth="1"/>
    <col min="1028" max="1033" width="9.140625" style="73" customWidth="1"/>
    <col min="1034" max="1280" width="9.140625" style="73"/>
    <col min="1281" max="1281" width="53.42578125" style="73" customWidth="1"/>
    <col min="1282" max="1282" width="29.5703125" style="73" customWidth="1"/>
    <col min="1283" max="1283" width="20.7109375" style="73" customWidth="1"/>
    <col min="1284" max="1289" width="9.140625" style="73" customWidth="1"/>
    <col min="1290" max="1536" width="9.140625" style="73"/>
    <col min="1537" max="1537" width="53.42578125" style="73" customWidth="1"/>
    <col min="1538" max="1538" width="29.5703125" style="73" customWidth="1"/>
    <col min="1539" max="1539" width="20.7109375" style="73" customWidth="1"/>
    <col min="1540" max="1545" width="9.140625" style="73" customWidth="1"/>
    <col min="1546" max="1792" width="9.140625" style="73"/>
    <col min="1793" max="1793" width="53.42578125" style="73" customWidth="1"/>
    <col min="1794" max="1794" width="29.5703125" style="73" customWidth="1"/>
    <col min="1795" max="1795" width="20.7109375" style="73" customWidth="1"/>
    <col min="1796" max="1801" width="9.140625" style="73" customWidth="1"/>
    <col min="1802" max="2048" width="9.140625" style="73"/>
    <col min="2049" max="2049" width="53.42578125" style="73" customWidth="1"/>
    <col min="2050" max="2050" width="29.5703125" style="73" customWidth="1"/>
    <col min="2051" max="2051" width="20.7109375" style="73" customWidth="1"/>
    <col min="2052" max="2057" width="9.140625" style="73" customWidth="1"/>
    <col min="2058" max="2304" width="9.140625" style="73"/>
    <col min="2305" max="2305" width="53.42578125" style="73" customWidth="1"/>
    <col min="2306" max="2306" width="29.5703125" style="73" customWidth="1"/>
    <col min="2307" max="2307" width="20.7109375" style="73" customWidth="1"/>
    <col min="2308" max="2313" width="9.140625" style="73" customWidth="1"/>
    <col min="2314" max="2560" width="9.140625" style="73"/>
    <col min="2561" max="2561" width="53.42578125" style="73" customWidth="1"/>
    <col min="2562" max="2562" width="29.5703125" style="73" customWidth="1"/>
    <col min="2563" max="2563" width="20.7109375" style="73" customWidth="1"/>
    <col min="2564" max="2569" width="9.140625" style="73" customWidth="1"/>
    <col min="2570" max="2816" width="9.140625" style="73"/>
    <col min="2817" max="2817" width="53.42578125" style="73" customWidth="1"/>
    <col min="2818" max="2818" width="29.5703125" style="73" customWidth="1"/>
    <col min="2819" max="2819" width="20.7109375" style="73" customWidth="1"/>
    <col min="2820" max="2825" width="9.140625" style="73" customWidth="1"/>
    <col min="2826" max="3072" width="9.140625" style="73"/>
    <col min="3073" max="3073" width="53.42578125" style="73" customWidth="1"/>
    <col min="3074" max="3074" width="29.5703125" style="73" customWidth="1"/>
    <col min="3075" max="3075" width="20.7109375" style="73" customWidth="1"/>
    <col min="3076" max="3081" width="9.140625" style="73" customWidth="1"/>
    <col min="3082" max="3328" width="9.140625" style="73"/>
    <col min="3329" max="3329" width="53.42578125" style="73" customWidth="1"/>
    <col min="3330" max="3330" width="29.5703125" style="73" customWidth="1"/>
    <col min="3331" max="3331" width="20.7109375" style="73" customWidth="1"/>
    <col min="3332" max="3337" width="9.140625" style="73" customWidth="1"/>
    <col min="3338" max="3584" width="9.140625" style="73"/>
    <col min="3585" max="3585" width="53.42578125" style="73" customWidth="1"/>
    <col min="3586" max="3586" width="29.5703125" style="73" customWidth="1"/>
    <col min="3587" max="3587" width="20.7109375" style="73" customWidth="1"/>
    <col min="3588" max="3593" width="9.140625" style="73" customWidth="1"/>
    <col min="3594" max="3840" width="9.140625" style="73"/>
    <col min="3841" max="3841" width="53.42578125" style="73" customWidth="1"/>
    <col min="3842" max="3842" width="29.5703125" style="73" customWidth="1"/>
    <col min="3843" max="3843" width="20.7109375" style="73" customWidth="1"/>
    <col min="3844" max="3849" width="9.140625" style="73" customWidth="1"/>
    <col min="3850" max="4096" width="9.140625" style="73"/>
    <col min="4097" max="4097" width="53.42578125" style="73" customWidth="1"/>
    <col min="4098" max="4098" width="29.5703125" style="73" customWidth="1"/>
    <col min="4099" max="4099" width="20.7109375" style="73" customWidth="1"/>
    <col min="4100" max="4105" width="9.140625" style="73" customWidth="1"/>
    <col min="4106" max="4352" width="9.140625" style="73"/>
    <col min="4353" max="4353" width="53.42578125" style="73" customWidth="1"/>
    <col min="4354" max="4354" width="29.5703125" style="73" customWidth="1"/>
    <col min="4355" max="4355" width="20.7109375" style="73" customWidth="1"/>
    <col min="4356" max="4361" width="9.140625" style="73" customWidth="1"/>
    <col min="4362" max="4608" width="9.140625" style="73"/>
    <col min="4609" max="4609" width="53.42578125" style="73" customWidth="1"/>
    <col min="4610" max="4610" width="29.5703125" style="73" customWidth="1"/>
    <col min="4611" max="4611" width="20.7109375" style="73" customWidth="1"/>
    <col min="4612" max="4617" width="9.140625" style="73" customWidth="1"/>
    <col min="4618" max="4864" width="9.140625" style="73"/>
    <col min="4865" max="4865" width="53.42578125" style="73" customWidth="1"/>
    <col min="4866" max="4866" width="29.5703125" style="73" customWidth="1"/>
    <col min="4867" max="4867" width="20.7109375" style="73" customWidth="1"/>
    <col min="4868" max="4873" width="9.140625" style="73" customWidth="1"/>
    <col min="4874" max="5120" width="9.140625" style="73"/>
    <col min="5121" max="5121" width="53.42578125" style="73" customWidth="1"/>
    <col min="5122" max="5122" width="29.5703125" style="73" customWidth="1"/>
    <col min="5123" max="5123" width="20.7109375" style="73" customWidth="1"/>
    <col min="5124" max="5129" width="9.140625" style="73" customWidth="1"/>
    <col min="5130" max="5376" width="9.140625" style="73"/>
    <col min="5377" max="5377" width="53.42578125" style="73" customWidth="1"/>
    <col min="5378" max="5378" width="29.5703125" style="73" customWidth="1"/>
    <col min="5379" max="5379" width="20.7109375" style="73" customWidth="1"/>
    <col min="5380" max="5385" width="9.140625" style="73" customWidth="1"/>
    <col min="5386" max="5632" width="9.140625" style="73"/>
    <col min="5633" max="5633" width="53.42578125" style="73" customWidth="1"/>
    <col min="5634" max="5634" width="29.5703125" style="73" customWidth="1"/>
    <col min="5635" max="5635" width="20.7109375" style="73" customWidth="1"/>
    <col min="5636" max="5641" width="9.140625" style="73" customWidth="1"/>
    <col min="5642" max="5888" width="9.140625" style="73"/>
    <col min="5889" max="5889" width="53.42578125" style="73" customWidth="1"/>
    <col min="5890" max="5890" width="29.5703125" style="73" customWidth="1"/>
    <col min="5891" max="5891" width="20.7109375" style="73" customWidth="1"/>
    <col min="5892" max="5897" width="9.140625" style="73" customWidth="1"/>
    <col min="5898" max="6144" width="9.140625" style="73"/>
    <col min="6145" max="6145" width="53.42578125" style="73" customWidth="1"/>
    <col min="6146" max="6146" width="29.5703125" style="73" customWidth="1"/>
    <col min="6147" max="6147" width="20.7109375" style="73" customWidth="1"/>
    <col min="6148" max="6153" width="9.140625" style="73" customWidth="1"/>
    <col min="6154" max="6400" width="9.140625" style="73"/>
    <col min="6401" max="6401" width="53.42578125" style="73" customWidth="1"/>
    <col min="6402" max="6402" width="29.5703125" style="73" customWidth="1"/>
    <col min="6403" max="6403" width="20.7109375" style="73" customWidth="1"/>
    <col min="6404" max="6409" width="9.140625" style="73" customWidth="1"/>
    <col min="6410" max="6656" width="9.140625" style="73"/>
    <col min="6657" max="6657" width="53.42578125" style="73" customWidth="1"/>
    <col min="6658" max="6658" width="29.5703125" style="73" customWidth="1"/>
    <col min="6659" max="6659" width="20.7109375" style="73" customWidth="1"/>
    <col min="6660" max="6665" width="9.140625" style="73" customWidth="1"/>
    <col min="6666" max="6912" width="9.140625" style="73"/>
    <col min="6913" max="6913" width="53.42578125" style="73" customWidth="1"/>
    <col min="6914" max="6914" width="29.5703125" style="73" customWidth="1"/>
    <col min="6915" max="6915" width="20.7109375" style="73" customWidth="1"/>
    <col min="6916" max="6921" width="9.140625" style="73" customWidth="1"/>
    <col min="6922" max="7168" width="9.140625" style="73"/>
    <col min="7169" max="7169" width="53.42578125" style="73" customWidth="1"/>
    <col min="7170" max="7170" width="29.5703125" style="73" customWidth="1"/>
    <col min="7171" max="7171" width="20.7109375" style="73" customWidth="1"/>
    <col min="7172" max="7177" width="9.140625" style="73" customWidth="1"/>
    <col min="7178" max="7424" width="9.140625" style="73"/>
    <col min="7425" max="7425" width="53.42578125" style="73" customWidth="1"/>
    <col min="7426" max="7426" width="29.5703125" style="73" customWidth="1"/>
    <col min="7427" max="7427" width="20.7109375" style="73" customWidth="1"/>
    <col min="7428" max="7433" width="9.140625" style="73" customWidth="1"/>
    <col min="7434" max="7680" width="9.140625" style="73"/>
    <col min="7681" max="7681" width="53.42578125" style="73" customWidth="1"/>
    <col min="7682" max="7682" width="29.5703125" style="73" customWidth="1"/>
    <col min="7683" max="7683" width="20.7109375" style="73" customWidth="1"/>
    <col min="7684" max="7689" width="9.140625" style="73" customWidth="1"/>
    <col min="7690" max="7936" width="9.140625" style="73"/>
    <col min="7937" max="7937" width="53.42578125" style="73" customWidth="1"/>
    <col min="7938" max="7938" width="29.5703125" style="73" customWidth="1"/>
    <col min="7939" max="7939" width="20.7109375" style="73" customWidth="1"/>
    <col min="7940" max="7945" width="9.140625" style="73" customWidth="1"/>
    <col min="7946" max="8192" width="9.140625" style="73"/>
    <col min="8193" max="8193" width="53.42578125" style="73" customWidth="1"/>
    <col min="8194" max="8194" width="29.5703125" style="73" customWidth="1"/>
    <col min="8195" max="8195" width="20.7109375" style="73" customWidth="1"/>
    <col min="8196" max="8201" width="9.140625" style="73" customWidth="1"/>
    <col min="8202" max="8448" width="9.140625" style="73"/>
    <col min="8449" max="8449" width="53.42578125" style="73" customWidth="1"/>
    <col min="8450" max="8450" width="29.5703125" style="73" customWidth="1"/>
    <col min="8451" max="8451" width="20.7109375" style="73" customWidth="1"/>
    <col min="8452" max="8457" width="9.140625" style="73" customWidth="1"/>
    <col min="8458" max="8704" width="9.140625" style="73"/>
    <col min="8705" max="8705" width="53.42578125" style="73" customWidth="1"/>
    <col min="8706" max="8706" width="29.5703125" style="73" customWidth="1"/>
    <col min="8707" max="8707" width="20.7109375" style="73" customWidth="1"/>
    <col min="8708" max="8713" width="9.140625" style="73" customWidth="1"/>
    <col min="8714" max="8960" width="9.140625" style="73"/>
    <col min="8961" max="8961" width="53.42578125" style="73" customWidth="1"/>
    <col min="8962" max="8962" width="29.5703125" style="73" customWidth="1"/>
    <col min="8963" max="8963" width="20.7109375" style="73" customWidth="1"/>
    <col min="8964" max="8969" width="9.140625" style="73" customWidth="1"/>
    <col min="8970" max="9216" width="9.140625" style="73"/>
    <col min="9217" max="9217" width="53.42578125" style="73" customWidth="1"/>
    <col min="9218" max="9218" width="29.5703125" style="73" customWidth="1"/>
    <col min="9219" max="9219" width="20.7109375" style="73" customWidth="1"/>
    <col min="9220" max="9225" width="9.140625" style="73" customWidth="1"/>
    <col min="9226" max="9472" width="9.140625" style="73"/>
    <col min="9473" max="9473" width="53.42578125" style="73" customWidth="1"/>
    <col min="9474" max="9474" width="29.5703125" style="73" customWidth="1"/>
    <col min="9475" max="9475" width="20.7109375" style="73" customWidth="1"/>
    <col min="9476" max="9481" width="9.140625" style="73" customWidth="1"/>
    <col min="9482" max="9728" width="9.140625" style="73"/>
    <col min="9729" max="9729" width="53.42578125" style="73" customWidth="1"/>
    <col min="9730" max="9730" width="29.5703125" style="73" customWidth="1"/>
    <col min="9731" max="9731" width="20.7109375" style="73" customWidth="1"/>
    <col min="9732" max="9737" width="9.140625" style="73" customWidth="1"/>
    <col min="9738" max="9984" width="9.140625" style="73"/>
    <col min="9985" max="9985" width="53.42578125" style="73" customWidth="1"/>
    <col min="9986" max="9986" width="29.5703125" style="73" customWidth="1"/>
    <col min="9987" max="9987" width="20.7109375" style="73" customWidth="1"/>
    <col min="9988" max="9993" width="9.140625" style="73" customWidth="1"/>
    <col min="9994" max="10240" width="9.140625" style="73"/>
    <col min="10241" max="10241" width="53.42578125" style="73" customWidth="1"/>
    <col min="10242" max="10242" width="29.5703125" style="73" customWidth="1"/>
    <col min="10243" max="10243" width="20.7109375" style="73" customWidth="1"/>
    <col min="10244" max="10249" width="9.140625" style="73" customWidth="1"/>
    <col min="10250" max="10496" width="9.140625" style="73"/>
    <col min="10497" max="10497" width="53.42578125" style="73" customWidth="1"/>
    <col min="10498" max="10498" width="29.5703125" style="73" customWidth="1"/>
    <col min="10499" max="10499" width="20.7109375" style="73" customWidth="1"/>
    <col min="10500" max="10505" width="9.140625" style="73" customWidth="1"/>
    <col min="10506" max="10752" width="9.140625" style="73"/>
    <col min="10753" max="10753" width="53.42578125" style="73" customWidth="1"/>
    <col min="10754" max="10754" width="29.5703125" style="73" customWidth="1"/>
    <col min="10755" max="10755" width="20.7109375" style="73" customWidth="1"/>
    <col min="10756" max="10761" width="9.140625" style="73" customWidth="1"/>
    <col min="10762" max="11008" width="9.140625" style="73"/>
    <col min="11009" max="11009" width="53.42578125" style="73" customWidth="1"/>
    <col min="11010" max="11010" width="29.5703125" style="73" customWidth="1"/>
    <col min="11011" max="11011" width="20.7109375" style="73" customWidth="1"/>
    <col min="11012" max="11017" width="9.140625" style="73" customWidth="1"/>
    <col min="11018" max="11264" width="9.140625" style="73"/>
    <col min="11265" max="11265" width="53.42578125" style="73" customWidth="1"/>
    <col min="11266" max="11266" width="29.5703125" style="73" customWidth="1"/>
    <col min="11267" max="11267" width="20.7109375" style="73" customWidth="1"/>
    <col min="11268" max="11273" width="9.140625" style="73" customWidth="1"/>
    <col min="11274" max="11520" width="9.140625" style="73"/>
    <col min="11521" max="11521" width="53.42578125" style="73" customWidth="1"/>
    <col min="11522" max="11522" width="29.5703125" style="73" customWidth="1"/>
    <col min="11523" max="11523" width="20.7109375" style="73" customWidth="1"/>
    <col min="11524" max="11529" width="9.140625" style="73" customWidth="1"/>
    <col min="11530" max="11776" width="9.140625" style="73"/>
    <col min="11777" max="11777" width="53.42578125" style="73" customWidth="1"/>
    <col min="11778" max="11778" width="29.5703125" style="73" customWidth="1"/>
    <col min="11779" max="11779" width="20.7109375" style="73" customWidth="1"/>
    <col min="11780" max="11785" width="9.140625" style="73" customWidth="1"/>
    <col min="11786" max="12032" width="9.140625" style="73"/>
    <col min="12033" max="12033" width="53.42578125" style="73" customWidth="1"/>
    <col min="12034" max="12034" width="29.5703125" style="73" customWidth="1"/>
    <col min="12035" max="12035" width="20.7109375" style="73" customWidth="1"/>
    <col min="12036" max="12041" width="9.140625" style="73" customWidth="1"/>
    <col min="12042" max="12288" width="9.140625" style="73"/>
    <col min="12289" max="12289" width="53.42578125" style="73" customWidth="1"/>
    <col min="12290" max="12290" width="29.5703125" style="73" customWidth="1"/>
    <col min="12291" max="12291" width="20.7109375" style="73" customWidth="1"/>
    <col min="12292" max="12297" width="9.140625" style="73" customWidth="1"/>
    <col min="12298" max="12544" width="9.140625" style="73"/>
    <col min="12545" max="12545" width="53.42578125" style="73" customWidth="1"/>
    <col min="12546" max="12546" width="29.5703125" style="73" customWidth="1"/>
    <col min="12547" max="12547" width="20.7109375" style="73" customWidth="1"/>
    <col min="12548" max="12553" width="9.140625" style="73" customWidth="1"/>
    <col min="12554" max="12800" width="9.140625" style="73"/>
    <col min="12801" max="12801" width="53.42578125" style="73" customWidth="1"/>
    <col min="12802" max="12802" width="29.5703125" style="73" customWidth="1"/>
    <col min="12803" max="12803" width="20.7109375" style="73" customWidth="1"/>
    <col min="12804" max="12809" width="9.140625" style="73" customWidth="1"/>
    <col min="12810" max="13056" width="9.140625" style="73"/>
    <col min="13057" max="13057" width="53.42578125" style="73" customWidth="1"/>
    <col min="13058" max="13058" width="29.5703125" style="73" customWidth="1"/>
    <col min="13059" max="13059" width="20.7109375" style="73" customWidth="1"/>
    <col min="13060" max="13065" width="9.140625" style="73" customWidth="1"/>
    <col min="13066" max="13312" width="9.140625" style="73"/>
    <col min="13313" max="13313" width="53.42578125" style="73" customWidth="1"/>
    <col min="13314" max="13314" width="29.5703125" style="73" customWidth="1"/>
    <col min="13315" max="13315" width="20.7109375" style="73" customWidth="1"/>
    <col min="13316" max="13321" width="9.140625" style="73" customWidth="1"/>
    <col min="13322" max="13568" width="9.140625" style="73"/>
    <col min="13569" max="13569" width="53.42578125" style="73" customWidth="1"/>
    <col min="13570" max="13570" width="29.5703125" style="73" customWidth="1"/>
    <col min="13571" max="13571" width="20.7109375" style="73" customWidth="1"/>
    <col min="13572" max="13577" width="9.140625" style="73" customWidth="1"/>
    <col min="13578" max="13824" width="9.140625" style="73"/>
    <col min="13825" max="13825" width="53.42578125" style="73" customWidth="1"/>
    <col min="13826" max="13826" width="29.5703125" style="73" customWidth="1"/>
    <col min="13827" max="13827" width="20.7109375" style="73" customWidth="1"/>
    <col min="13828" max="13833" width="9.140625" style="73" customWidth="1"/>
    <col min="13834" max="14080" width="9.140625" style="73"/>
    <col min="14081" max="14081" width="53.42578125" style="73" customWidth="1"/>
    <col min="14082" max="14082" width="29.5703125" style="73" customWidth="1"/>
    <col min="14083" max="14083" width="20.7109375" style="73" customWidth="1"/>
    <col min="14084" max="14089" width="9.140625" style="73" customWidth="1"/>
    <col min="14090" max="14336" width="9.140625" style="73"/>
    <col min="14337" max="14337" width="53.42578125" style="73" customWidth="1"/>
    <col min="14338" max="14338" width="29.5703125" style="73" customWidth="1"/>
    <col min="14339" max="14339" width="20.7109375" style="73" customWidth="1"/>
    <col min="14340" max="14345" width="9.140625" style="73" customWidth="1"/>
    <col min="14346" max="14592" width="9.140625" style="73"/>
    <col min="14593" max="14593" width="53.42578125" style="73" customWidth="1"/>
    <col min="14594" max="14594" width="29.5703125" style="73" customWidth="1"/>
    <col min="14595" max="14595" width="20.7109375" style="73" customWidth="1"/>
    <col min="14596" max="14601" width="9.140625" style="73" customWidth="1"/>
    <col min="14602" max="14848" width="9.140625" style="73"/>
    <col min="14849" max="14849" width="53.42578125" style="73" customWidth="1"/>
    <col min="14850" max="14850" width="29.5703125" style="73" customWidth="1"/>
    <col min="14851" max="14851" width="20.7109375" style="73" customWidth="1"/>
    <col min="14852" max="14857" width="9.140625" style="73" customWidth="1"/>
    <col min="14858" max="15104" width="9.140625" style="73"/>
    <col min="15105" max="15105" width="53.42578125" style="73" customWidth="1"/>
    <col min="15106" max="15106" width="29.5703125" style="73" customWidth="1"/>
    <col min="15107" max="15107" width="20.7109375" style="73" customWidth="1"/>
    <col min="15108" max="15113" width="9.140625" style="73" customWidth="1"/>
    <col min="15114" max="15360" width="9.140625" style="73"/>
    <col min="15361" max="15361" width="53.42578125" style="73" customWidth="1"/>
    <col min="15362" max="15362" width="29.5703125" style="73" customWidth="1"/>
    <col min="15363" max="15363" width="20.7109375" style="73" customWidth="1"/>
    <col min="15364" max="15369" width="9.140625" style="73" customWidth="1"/>
    <col min="15370" max="15616" width="9.140625" style="73"/>
    <col min="15617" max="15617" width="53.42578125" style="73" customWidth="1"/>
    <col min="15618" max="15618" width="29.5703125" style="73" customWidth="1"/>
    <col min="15619" max="15619" width="20.7109375" style="73" customWidth="1"/>
    <col min="15620" max="15625" width="9.140625" style="73" customWidth="1"/>
    <col min="15626" max="15872" width="9.140625" style="73"/>
    <col min="15873" max="15873" width="53.42578125" style="73" customWidth="1"/>
    <col min="15874" max="15874" width="29.5703125" style="73" customWidth="1"/>
    <col min="15875" max="15875" width="20.7109375" style="73" customWidth="1"/>
    <col min="15876" max="15881" width="9.140625" style="73" customWidth="1"/>
    <col min="15882" max="16128" width="9.140625" style="73"/>
    <col min="16129" max="16129" width="53.42578125" style="73" customWidth="1"/>
    <col min="16130" max="16130" width="29.5703125" style="73" customWidth="1"/>
    <col min="16131" max="16131" width="20.7109375" style="73" customWidth="1"/>
    <col min="16132" max="16137" width="9.140625" style="73" customWidth="1"/>
    <col min="16138" max="16384" width="9.140625" style="73"/>
  </cols>
  <sheetData>
    <row r="1" spans="1:5" ht="81" customHeight="1">
      <c r="B1" s="208"/>
      <c r="C1" s="208"/>
      <c r="D1" s="208" t="s">
        <v>658</v>
      </c>
      <c r="E1" s="208"/>
    </row>
    <row r="2" spans="1:5" ht="33" customHeight="1">
      <c r="A2" s="209" t="s">
        <v>656</v>
      </c>
      <c r="B2" s="209"/>
      <c r="C2" s="209"/>
      <c r="D2" s="209"/>
      <c r="E2" s="209"/>
    </row>
    <row r="3" spans="1:5">
      <c r="B3" s="74"/>
      <c r="C3" s="75"/>
    </row>
    <row r="4" spans="1:5" ht="31.5">
      <c r="A4" s="76"/>
      <c r="B4" s="77" t="s">
        <v>472</v>
      </c>
      <c r="C4" s="78" t="s">
        <v>654</v>
      </c>
      <c r="D4" s="78" t="s">
        <v>648</v>
      </c>
      <c r="E4" s="78" t="s">
        <v>655</v>
      </c>
    </row>
    <row r="5" spans="1:5">
      <c r="A5" s="210" t="s">
        <v>657</v>
      </c>
      <c r="B5" s="211"/>
      <c r="C5" s="211"/>
      <c r="D5" s="211"/>
      <c r="E5" s="211"/>
    </row>
    <row r="6" spans="1:5">
      <c r="A6" s="79" t="s">
        <v>473</v>
      </c>
      <c r="B6" s="80"/>
      <c r="C6" s="81">
        <f>-C7</f>
        <v>0</v>
      </c>
      <c r="D6" s="81">
        <v>0</v>
      </c>
      <c r="E6" s="81">
        <v>0</v>
      </c>
    </row>
    <row r="7" spans="1:5" ht="30" customHeight="1">
      <c r="A7" s="82" t="s">
        <v>474</v>
      </c>
      <c r="B7" s="83" t="s">
        <v>475</v>
      </c>
      <c r="C7" s="81">
        <v>0</v>
      </c>
      <c r="D7" s="81">
        <v>0</v>
      </c>
      <c r="E7" s="81">
        <v>0</v>
      </c>
    </row>
    <row r="8" spans="1:5" ht="15.75" customHeight="1">
      <c r="A8" s="84" t="s">
        <v>476</v>
      </c>
      <c r="B8" s="80"/>
      <c r="C8" s="81"/>
      <c r="D8" s="81"/>
      <c r="E8" s="81"/>
    </row>
    <row r="9" spans="1:5" ht="31.5" customHeight="1">
      <c r="A9" s="184" t="s">
        <v>477</v>
      </c>
      <c r="B9" s="85" t="s">
        <v>649</v>
      </c>
      <c r="C9" s="87">
        <v>0</v>
      </c>
      <c r="D9" s="87">
        <v>0</v>
      </c>
      <c r="E9" s="87">
        <v>0</v>
      </c>
    </row>
    <row r="10" spans="1:5" s="86" customFormat="1" ht="26.25">
      <c r="A10" s="183" t="s">
        <v>651</v>
      </c>
      <c r="B10" s="182" t="s">
        <v>650</v>
      </c>
      <c r="C10" s="87">
        <v>0</v>
      </c>
      <c r="D10" s="87">
        <v>0</v>
      </c>
      <c r="E10" s="87">
        <v>0</v>
      </c>
    </row>
    <row r="11" spans="1:5" ht="26.25">
      <c r="A11" s="183" t="s">
        <v>652</v>
      </c>
      <c r="B11" s="182" t="s">
        <v>653</v>
      </c>
      <c r="C11" s="87">
        <v>0</v>
      </c>
      <c r="D11" s="87">
        <v>0</v>
      </c>
      <c r="E11" s="87">
        <v>0</v>
      </c>
    </row>
    <row r="12" spans="1:5" hidden="1">
      <c r="A12" s="84"/>
      <c r="B12" s="85"/>
      <c r="C12" s="87"/>
      <c r="D12" s="87"/>
      <c r="E12" s="87"/>
    </row>
    <row r="13" spans="1:5" ht="63" hidden="1">
      <c r="A13" s="84" t="s">
        <v>478</v>
      </c>
      <c r="B13" s="80" t="s">
        <v>479</v>
      </c>
      <c r="C13" s="87">
        <v>3500</v>
      </c>
      <c r="D13" s="87">
        <v>2500</v>
      </c>
      <c r="E13" s="87">
        <v>3006.2</v>
      </c>
    </row>
    <row r="14" spans="1:5" ht="31.5" hidden="1">
      <c r="A14" s="88" t="s">
        <v>480</v>
      </c>
      <c r="B14" s="89" t="s">
        <v>481</v>
      </c>
      <c r="C14" s="81">
        <v>0</v>
      </c>
      <c r="D14" s="81">
        <v>0</v>
      </c>
      <c r="E14" s="81">
        <v>0</v>
      </c>
    </row>
    <row r="15" spans="1:5" ht="47.25" hidden="1">
      <c r="A15" s="84" t="s">
        <v>482</v>
      </c>
      <c r="B15" s="85" t="s">
        <v>483</v>
      </c>
      <c r="C15" s="81">
        <v>0</v>
      </c>
      <c r="D15" s="81">
        <v>0</v>
      </c>
      <c r="E15" s="81">
        <v>0</v>
      </c>
    </row>
    <row r="17" spans="2:3">
      <c r="B17" s="90"/>
      <c r="C17" s="91"/>
    </row>
    <row r="18" spans="2:3">
      <c r="B18" s="90"/>
      <c r="C18" s="91"/>
    </row>
    <row r="19" spans="2:3">
      <c r="B19" s="90"/>
      <c r="C19" s="91"/>
    </row>
    <row r="20" spans="2:3">
      <c r="B20" s="90"/>
      <c r="C20" s="91"/>
    </row>
    <row r="21" spans="2:3">
      <c r="B21" s="90"/>
      <c r="C21" s="91"/>
    </row>
    <row r="22" spans="2:3">
      <c r="B22" s="90"/>
      <c r="C22" s="91"/>
    </row>
    <row r="23" spans="2:3">
      <c r="B23" s="92"/>
      <c r="C23" s="93"/>
    </row>
    <row r="24" spans="2:3">
      <c r="B24" s="90"/>
      <c r="C24" s="91"/>
    </row>
    <row r="25" spans="2:3">
      <c r="B25" s="90"/>
      <c r="C25" s="91"/>
    </row>
    <row r="26" spans="2:3">
      <c r="B26" s="94"/>
      <c r="C26" s="95"/>
    </row>
    <row r="27" spans="2:3">
      <c r="B27" s="90"/>
      <c r="C27" s="91"/>
    </row>
    <row r="28" spans="2:3">
      <c r="B28" s="90"/>
      <c r="C28" s="91"/>
    </row>
    <row r="29" spans="2:3">
      <c r="B29" s="94"/>
      <c r="C29" s="95"/>
    </row>
    <row r="30" spans="2:3">
      <c r="B30" s="90"/>
      <c r="C30" s="91"/>
    </row>
    <row r="31" spans="2:3">
      <c r="B31" s="90"/>
      <c r="C31" s="91"/>
    </row>
    <row r="32" spans="2:3">
      <c r="B32" s="90"/>
      <c r="C32" s="91"/>
    </row>
    <row r="33" spans="2:3">
      <c r="B33" s="90"/>
      <c r="C33" s="91"/>
    </row>
    <row r="34" spans="2:3">
      <c r="B34" s="96"/>
      <c r="C34" s="97"/>
    </row>
    <row r="35" spans="2:3">
      <c r="B35" s="96"/>
      <c r="C35" s="97"/>
    </row>
    <row r="36" spans="2:3">
      <c r="B36" s="96"/>
      <c r="C36" s="97"/>
    </row>
    <row r="37" spans="2:3">
      <c r="C37" s="98"/>
    </row>
    <row r="38" spans="2:3">
      <c r="C38" s="98"/>
    </row>
    <row r="39" spans="2:3">
      <c r="C39" s="98"/>
    </row>
    <row r="40" spans="2:3">
      <c r="C40" s="98"/>
    </row>
    <row r="41" spans="2:3">
      <c r="C41" s="98"/>
    </row>
    <row r="42" spans="2:3">
      <c r="C42" s="98"/>
    </row>
    <row r="43" spans="2:3">
      <c r="C43" s="98"/>
    </row>
    <row r="44" spans="2:3">
      <c r="C44" s="98"/>
    </row>
    <row r="45" spans="2:3">
      <c r="C45" s="98"/>
    </row>
    <row r="46" spans="2:3">
      <c r="C46" s="98"/>
    </row>
    <row r="47" spans="2:3">
      <c r="C47" s="98"/>
    </row>
    <row r="48" spans="2:3">
      <c r="C48" s="98"/>
    </row>
    <row r="49" spans="3:3">
      <c r="C49" s="98"/>
    </row>
    <row r="50" spans="3:3">
      <c r="C50" s="98"/>
    </row>
    <row r="51" spans="3:3">
      <c r="C51" s="98"/>
    </row>
    <row r="52" spans="3:3">
      <c r="C52" s="98"/>
    </row>
    <row r="53" spans="3:3">
      <c r="C53" s="98"/>
    </row>
    <row r="54" spans="3:3">
      <c r="C54" s="98"/>
    </row>
    <row r="55" spans="3:3">
      <c r="C55" s="98"/>
    </row>
    <row r="56" spans="3:3">
      <c r="C56" s="98"/>
    </row>
    <row r="57" spans="3:3">
      <c r="C57" s="98"/>
    </row>
    <row r="58" spans="3:3">
      <c r="C58" s="98"/>
    </row>
    <row r="59" spans="3:3">
      <c r="C59" s="98"/>
    </row>
    <row r="60" spans="3:3">
      <c r="C60" s="98"/>
    </row>
    <row r="61" spans="3:3">
      <c r="C61" s="98"/>
    </row>
    <row r="62" spans="3:3">
      <c r="C62" s="98"/>
    </row>
    <row r="63" spans="3:3">
      <c r="C63" s="98"/>
    </row>
    <row r="64" spans="3:3">
      <c r="C64" s="98"/>
    </row>
    <row r="65" spans="3:3">
      <c r="C65" s="98"/>
    </row>
    <row r="66" spans="3:3">
      <c r="C66" s="98"/>
    </row>
    <row r="67" spans="3:3">
      <c r="C67" s="98"/>
    </row>
    <row r="68" spans="3:3">
      <c r="C68" s="98"/>
    </row>
    <row r="69" spans="3:3">
      <c r="C69" s="98"/>
    </row>
    <row r="70" spans="3:3">
      <c r="C70" s="98"/>
    </row>
    <row r="71" spans="3:3">
      <c r="C71" s="98"/>
    </row>
    <row r="72" spans="3:3">
      <c r="C72" s="98"/>
    </row>
    <row r="73" spans="3:3">
      <c r="C73" s="98"/>
    </row>
    <row r="74" spans="3:3">
      <c r="C74" s="98"/>
    </row>
    <row r="75" spans="3:3">
      <c r="C75" s="98"/>
    </row>
    <row r="76" spans="3:3">
      <c r="C76" s="98"/>
    </row>
    <row r="77" spans="3:3">
      <c r="C77" s="98"/>
    </row>
    <row r="78" spans="3:3">
      <c r="C78" s="98"/>
    </row>
    <row r="79" spans="3:3">
      <c r="C79" s="98"/>
    </row>
    <row r="80" spans="3:3">
      <c r="C80" s="98"/>
    </row>
    <row r="81" spans="3:3">
      <c r="C81" s="98"/>
    </row>
    <row r="82" spans="3:3">
      <c r="C82" s="98"/>
    </row>
    <row r="83" spans="3:3">
      <c r="C83" s="98"/>
    </row>
    <row r="84" spans="3:3">
      <c r="C84" s="98"/>
    </row>
    <row r="85" spans="3:3">
      <c r="C85" s="98"/>
    </row>
    <row r="86" spans="3:3">
      <c r="C86" s="98"/>
    </row>
    <row r="87" spans="3:3">
      <c r="C87" s="98"/>
    </row>
    <row r="88" spans="3:3">
      <c r="C88" s="98"/>
    </row>
    <row r="89" spans="3:3">
      <c r="C89" s="98"/>
    </row>
    <row r="90" spans="3:3">
      <c r="C90" s="98"/>
    </row>
    <row r="91" spans="3:3">
      <c r="C91" s="98"/>
    </row>
    <row r="92" spans="3:3">
      <c r="C92" s="98"/>
    </row>
    <row r="93" spans="3:3">
      <c r="C93" s="98"/>
    </row>
    <row r="94" spans="3:3">
      <c r="C94" s="98"/>
    </row>
    <row r="95" spans="3:3">
      <c r="C95" s="98"/>
    </row>
    <row r="96" spans="3:3">
      <c r="C96" s="98"/>
    </row>
    <row r="97" spans="3:3">
      <c r="C97" s="98"/>
    </row>
    <row r="98" spans="3:3">
      <c r="C98" s="98"/>
    </row>
    <row r="99" spans="3:3">
      <c r="C99" s="98"/>
    </row>
    <row r="100" spans="3:3">
      <c r="C100" s="98"/>
    </row>
    <row r="101" spans="3:3">
      <c r="C101" s="98"/>
    </row>
    <row r="102" spans="3:3">
      <c r="C102" s="98"/>
    </row>
    <row r="103" spans="3:3">
      <c r="C103" s="98"/>
    </row>
    <row r="104" spans="3:3">
      <c r="C104" s="98"/>
    </row>
    <row r="105" spans="3:3">
      <c r="C105" s="98"/>
    </row>
    <row r="106" spans="3:3">
      <c r="C106" s="98"/>
    </row>
    <row r="107" spans="3:3">
      <c r="C107" s="98"/>
    </row>
    <row r="108" spans="3:3">
      <c r="C108" s="98"/>
    </row>
    <row r="109" spans="3:3">
      <c r="C109" s="98"/>
    </row>
    <row r="110" spans="3:3">
      <c r="C110" s="98"/>
    </row>
    <row r="111" spans="3:3">
      <c r="C111" s="98"/>
    </row>
    <row r="112" spans="3:3">
      <c r="C112" s="98"/>
    </row>
    <row r="113" spans="3:3">
      <c r="C113" s="98"/>
    </row>
    <row r="114" spans="3:3">
      <c r="C114" s="98"/>
    </row>
    <row r="115" spans="3:3">
      <c r="C115" s="98"/>
    </row>
    <row r="116" spans="3:3">
      <c r="C116" s="98"/>
    </row>
    <row r="117" spans="3:3">
      <c r="C117" s="98"/>
    </row>
    <row r="118" spans="3:3">
      <c r="C118" s="98"/>
    </row>
    <row r="119" spans="3:3">
      <c r="C119" s="98"/>
    </row>
    <row r="120" spans="3:3">
      <c r="C120" s="98"/>
    </row>
    <row r="121" spans="3:3">
      <c r="C121" s="98"/>
    </row>
    <row r="122" spans="3:3">
      <c r="C122" s="98"/>
    </row>
    <row r="123" spans="3:3">
      <c r="C123" s="98"/>
    </row>
    <row r="124" spans="3:3">
      <c r="C124" s="98"/>
    </row>
    <row r="125" spans="3:3">
      <c r="C125" s="98"/>
    </row>
    <row r="126" spans="3:3">
      <c r="C126" s="98"/>
    </row>
    <row r="127" spans="3:3">
      <c r="C127" s="98"/>
    </row>
    <row r="128" spans="3:3">
      <c r="C128" s="98"/>
    </row>
    <row r="129" spans="3:3">
      <c r="C129" s="98"/>
    </row>
    <row r="130" spans="3:3">
      <c r="C130" s="98"/>
    </row>
    <row r="131" spans="3:3">
      <c r="C131" s="98"/>
    </row>
    <row r="132" spans="3:3">
      <c r="C132" s="98"/>
    </row>
    <row r="133" spans="3:3">
      <c r="C133" s="98"/>
    </row>
    <row r="134" spans="3:3">
      <c r="C134" s="98"/>
    </row>
    <row r="135" spans="3:3">
      <c r="C135" s="98"/>
    </row>
    <row r="136" spans="3:3">
      <c r="C136" s="98"/>
    </row>
    <row r="137" spans="3:3">
      <c r="C137" s="98"/>
    </row>
    <row r="138" spans="3:3">
      <c r="C138" s="98"/>
    </row>
    <row r="139" spans="3:3">
      <c r="C139" s="98"/>
    </row>
    <row r="140" spans="3:3">
      <c r="C140" s="98"/>
    </row>
    <row r="141" spans="3:3">
      <c r="C141" s="98"/>
    </row>
    <row r="142" spans="3:3">
      <c r="C142" s="98"/>
    </row>
    <row r="143" spans="3:3">
      <c r="C143" s="98"/>
    </row>
    <row r="144" spans="3:3">
      <c r="C144" s="98"/>
    </row>
    <row r="145" spans="3:3">
      <c r="C145" s="98"/>
    </row>
    <row r="146" spans="3:3">
      <c r="C146" s="98"/>
    </row>
  </sheetData>
  <mergeCells count="4">
    <mergeCell ref="B1:C1"/>
    <mergeCell ref="D1:E1"/>
    <mergeCell ref="A2:E2"/>
    <mergeCell ref="A5:E5"/>
  </mergeCells>
  <pageMargins left="0.98425196850393704" right="0.59055118110236227" top="0.59055118110236227" bottom="0.59055118110236227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14 (5)</vt:lpstr>
      <vt:lpstr>14 (4)</vt:lpstr>
      <vt:lpstr>16</vt:lpstr>
      <vt:lpstr>2</vt:lpstr>
      <vt:lpstr>'14 (4)'!Заголовки_для_печати</vt:lpstr>
      <vt:lpstr>'14 (5)'!Заголовки_для_печати</vt:lpstr>
      <vt:lpstr>'16'!Заголовки_для_печати</vt:lpstr>
      <vt:lpstr>'14 (4)'!Область_печати</vt:lpstr>
      <vt:lpstr>'14 (5)'!Область_печати</vt:lpstr>
      <vt:lpstr>'16'!Область_печати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2021-12-13T07:45:04Z</dcterms:modified>
</cp:coreProperties>
</file>